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9420" windowHeight="4440" tabRatio="671" firstSheet="1" activeTab="1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_xlnm.Print_Area" localSheetId="4">'Investičné výdavky'!$A$1:$J$112</definedName>
    <definedName name="_xlnm.Print_Area" localSheetId="10">'Kontrolný list'!$A$1:$M$56</definedName>
    <definedName name="_xlnm.Print_Area" localSheetId="9">'Sociálna únosnosť'!$A$1:$AJ$16</definedName>
    <definedName name="_xlnm.Print_Area" localSheetId="7">'Úver'!$A$1:$AK$18</definedName>
    <definedName name="_xlnm.Print_Area" localSheetId="5">'Výdavky na prevádzku'!$A$1:$AL$86</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výdavky'!#REF!</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2010.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AG42" authorId="1">
      <text>
        <r>
          <rPr>
            <sz val="8"/>
            <rFont val="Tahoma"/>
            <family val="2"/>
          </rPr>
          <t>V poslednom roku časového horizontu finančnej analýzy je vyplnená zostatková hodnota projektu</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G?lfy Ivan</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 ref="A72" authorId="0">
      <text>
        <r>
          <rPr>
            <sz val="8"/>
            <rFont val="Tahoma"/>
            <family val="2"/>
          </rPr>
          <t>Táto položka zahŕňa aj DPH, ktorá sa v tabuľke 13a.) uvádza na samostatnom riiadku pokiaľ má žiadateľ nárok na vrátenie DPH (je platcom DPH)</t>
        </r>
      </text>
    </comment>
    <comment ref="D34" authorId="1">
      <text>
        <r>
          <rPr>
            <sz val="8"/>
            <rFont val="Tahoma"/>
            <family val="2"/>
          </rPr>
          <t>V prílohe 6 žiadosti o NFP je žiadateľ povinný dokladovať spolufinancovanie tejto sumy.</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<sst xmlns="http://schemas.openxmlformats.org/spreadsheetml/2006/main" count="398" uniqueCount="308">
  <si>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</si>
  <si>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</si>
  <si>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</si>
  <si>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</si>
  <si>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</si>
  <si>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</si>
  <si>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</si>
  <si>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</si>
  <si>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</si>
  <si>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</si>
  <si>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</si>
  <si>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</si>
  <si>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</si>
  <si>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</si>
  <si>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</si>
  <si>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</si>
  <si>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</si>
  <si>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</si>
  <si>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</si>
  <si>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</si>
  <si>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</si>
  <si>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</si>
  <si>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</si>
  <si>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</si>
  <si>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</si>
  <si>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</si>
  <si>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</si>
  <si>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</si>
  <si>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</si>
  <si>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</si>
  <si>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</si>
  <si>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</si>
  <si>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</si>
  <si>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</si>
  <si>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</si>
  <si>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</si>
  <si>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</si>
  <si>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</si>
  <si>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</si>
  <si>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</si>
  <si>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</si>
  <si>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</si>
  <si>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</si>
  <si>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</si>
  <si>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</si>
  <si>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</si>
  <si>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</si>
  <si>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</si>
  <si>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</si>
  <si>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</si>
  <si>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</si>
  <si>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</si>
  <si>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</si>
  <si>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</si>
  <si>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</si>
  <si>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</si>
  <si>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</si>
  <si>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</si>
  <si>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</si>
  <si>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</si>
  <si>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</si>
  <si>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</si>
  <si>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</si>
  <si>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</si>
  <si>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</si>
  <si>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</si>
  <si>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</si>
  <si>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</si>
  <si>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</si>
  <si>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</si>
  <si>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</si>
  <si>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</si>
  <si>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VÚC</t>
  </si>
  <si>
    <t>organizácia štátnej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</si>
  <si>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</si>
  <si>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</si>
  <si>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</si>
  <si>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</si>
  <si>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</si>
  <si>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</si>
  <si>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</si>
  <si>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</si>
  <si>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</si>
  <si>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</si>
  <si>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</si>
  <si>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</si>
  <si>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</si>
  <si>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</si>
  <si>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</si>
  <si>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</si>
  <si>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</si>
  <si>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</si>
  <si>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</si>
  <si>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</si>
  <si>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</si>
  <si>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</si>
  <si>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</si>
  <si>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</si>
  <si>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</si>
  <si>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</si>
  <si>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</si>
  <si>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</si>
  <si>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</si>
  <si>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</si>
  <si>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</si>
  <si>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</si>
  <si>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</si>
  <si>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</si>
  <si>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</si>
  <si>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</si>
  <si>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</si>
  <si>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</si>
  <si>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</si>
  <si>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</si>
  <si>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</si>
  <si>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</si>
  <si>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</si>
  <si>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</si>
  <si>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</si>
  <si>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</si>
  <si>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</si>
  <si>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</si>
  <si>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</si>
  <si>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</si>
  <si>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</si>
  <si>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</si>
  <si>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</si>
  <si>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</si>
  <si>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</si>
  <si>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</si>
  <si>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</si>
  <si>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</si>
  <si>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</si>
  <si>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</si>
  <si>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</si>
  <si>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</si>
  <si>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</si>
  <si>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</si>
  <si>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</si>
  <si>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</si>
  <si>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</si>
  <si>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</si>
  <si>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</si>
  <si>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</si>
  <si>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</si>
  <si>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</si>
  <si>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</si>
  <si>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</si>
  <si>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</si>
  <si>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</si>
  <si>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</si>
  <si>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</si>
  <si>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</si>
  <si>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</si>
  <si>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</si>
  <si>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</si>
  <si>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</si>
  <si>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</si>
  <si>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</si>
  <si>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</si>
  <si>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</si>
  <si>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</si>
  <si>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</si>
  <si>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</si>
  <si>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</si>
  <si>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</si>
  <si>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</si>
  <si>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</si>
  <si>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</si>
  <si>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</si>
  <si>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</si>
  <si>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</si>
  <si>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</si>
  <si>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</si>
  <si>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</si>
  <si>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</si>
  <si>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</si>
  <si>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</si>
  <si>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</si>
  <si>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</si>
  <si>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</si>
  <si>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</si>
  <si>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</si>
  <si>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</si>
  <si>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</si>
  <si>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</si>
  <si>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</si>
  <si>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</si>
  <si>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</si>
  <si>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</si>
  <si>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</si>
  <si>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</si>
  <si>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</si>
  <si>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</si>
  <si>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</si>
  <si>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</si>
  <si>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</si>
  <si>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</si>
  <si>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</si>
  <si>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</si>
  <si>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</si>
  <si>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</si>
  <si>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</si>
  <si>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</si>
  <si>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</si>
  <si>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</si>
  <si>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</si>
  <si>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</si>
  <si>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</si>
  <si>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</si>
  <si>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</si>
  <si>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</si>
  <si>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</si>
  <si>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</si>
  <si>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</si>
  <si>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</si>
  <si>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</si>
  <si>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</si>
  <si>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</si>
  <si>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</si>
  <si>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</si>
  <si>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</si>
  <si>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</si>
  <si>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</si>
  <si>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</si>
  <si>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</si>
  <si>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</si>
  <si>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</si>
  <si>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</si>
  <si>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</si>
  <si>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</si>
  <si>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</si>
  <si>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</si>
  <si>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</si>
  <si>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</si>
  <si>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</si>
  <si>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</si>
  <si>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</si>
  <si>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</si>
  <si>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</si>
  <si>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</si>
  <si>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</si>
  <si>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</si>
  <si>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</si>
  <si>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</si>
  <si>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</si>
  <si>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</si>
  <si>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</si>
  <si>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</si>
  <si>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</si>
  <si>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</si>
  <si>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</si>
  <si>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</si>
  <si>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</si>
  <si>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</si>
  <si>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</si>
  <si>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</si>
  <si>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</si>
  <si>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</si>
  <si>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</si>
  <si>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</si>
  <si>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</si>
  <si>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</si>
  <si>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</si>
  <si>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</si>
  <si>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</si>
  <si>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</si>
  <si>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13b. Podrobný rozpočet projektu ( v EUR)</t>
  </si>
  <si>
    <t>Výdavky upravené o príjmy projektu</t>
  </si>
  <si>
    <t>Kód a názov skupiny výdavkov</t>
  </si>
  <si>
    <t>Oprávnené výdavky
zadávané do ITMS
(v EUR)</t>
  </si>
  <si>
    <t>Neoprávnené výdavky
zadávané do ITMS
(v EUR)</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</si>
  <si>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</si>
  <si>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</si>
  <si>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</si>
  <si>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</si>
  <si>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</si>
  <si>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</si>
  <si>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</si>
  <si>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</si>
  <si>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</si>
  <si>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</si>
  <si>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</si>
  <si>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</si>
  <si>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</si>
  <si>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</si>
  <si>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</si>
  <si>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</si>
  <si>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</si>
  <si>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</si>
  <si>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</si>
  <si>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xxxx - Skupina výdavkov 26</t>
  </si>
  <si>
    <t>xxxx - Skupina výdavkov 27</t>
  </si>
  <si>
    <t>xxxx - Skupina výdavkov 28</t>
  </si>
  <si>
    <t>xxxx - Skupina výdavkov 29</t>
  </si>
  <si>
    <t>xxxx - Skupina výdavkov 30</t>
  </si>
  <si>
    <t>13a. Rozpočet projektu ( v EUR)</t>
  </si>
  <si>
    <t>717001 - Realizácia nových stavieb</t>
  </si>
  <si>
    <t>610620 - Osobné náklady</t>
  </si>
  <si>
    <t>637012 - Poplatky a odvody</t>
  </si>
  <si>
    <t>637023 - Kolkové známky</t>
  </si>
  <si>
    <t>637005 - Špeciálne služby</t>
  </si>
  <si>
    <t>637003 - Propagácia, reklama a inzercia</t>
  </si>
  <si>
    <t>920 - Rezerva na nepredvídané výdavky - stavebné práce</t>
  </si>
  <si>
    <t>920 - Rezerva na nepredvídané výdavky - technológie</t>
  </si>
  <si>
    <t>iný subjekt verejnej správy, v prípade, ak nie je účastníkom hospodárskej súťaže</t>
  </si>
  <si>
    <t>obec, v prípade, ak nie je účastníkom hospodárskej súťaže</t>
  </si>
  <si>
    <t>Veľký podnik, resp. subjekt, ktorý sa stáva účastníkom hospodárskej súťaže, ak nespĺňa definíciu malého alebo stredného podniku</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</si>
</sst>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55">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rgb="FFC0C0C0"/>
        <bgColor indexed="64"/>
      </patternFill>
    </fill>
    <fill>
      <patternFill patternType="solid">
        <fgColor indexed="40"/>
        <bgColor indexed="64"/>
      </patternFill>
    </fill>
    <fill>
      <patternFill patternType="solid">
        <fgColor rgb="FFCCFFCC"/>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color indexed="63"/>
      </left>
      <right>
        <color indexed="63"/>
      </right>
      <top style="thick">
        <color indexed="43"/>
      </top>
      <bottom style="thick">
        <color indexed="4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20" borderId="0" applyNumberFormat="0" applyBorder="0" applyAlignment="0" applyProtection="0"/>
    <xf numFmtId="0" fontId="17" fillId="0" borderId="0" applyNumberFormat="0" applyFill="0" applyBorder="0" applyAlignment="0" applyProtection="0"/>
    <xf numFmtId="0" fontId="40"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3" borderId="5" applyNumberFormat="0" applyFont="0" applyAlignment="0" applyProtection="0"/>
    <xf numFmtId="0" fontId="45" fillId="0" borderId="6" applyNumberFormat="0" applyFill="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82">
    <xf numFmtId="0" fontId="0" fillId="0" borderId="0" xfId="0" applyAlignment="1">
      <alignment/>
    </xf>
    <xf numFmtId="3" fontId="0" fillId="33" borderId="0" xfId="0" applyNumberFormat="1" applyFont="1" applyFill="1" applyAlignment="1" applyProtection="1">
      <alignment/>
      <protection locked="0"/>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4" borderId="0" xfId="0" applyNumberFormat="1" applyFont="1" applyFill="1" applyAlignment="1" applyProtection="1">
      <alignment/>
      <protection locked="0"/>
    </xf>
    <xf numFmtId="3" fontId="0" fillId="35"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xf>
    <xf numFmtId="0" fontId="0" fillId="33" borderId="0" xfId="0" applyFill="1" applyAlignment="1">
      <alignment horizontal="left"/>
    </xf>
    <xf numFmtId="0" fontId="1" fillId="33" borderId="0" xfId="0" applyFont="1" applyFill="1" applyAlignment="1">
      <alignment horizontal="left"/>
    </xf>
    <xf numFmtId="3" fontId="0" fillId="34" borderId="0" xfId="0" applyNumberFormat="1" applyFont="1" applyFill="1" applyBorder="1" applyAlignment="1" applyProtection="1">
      <alignment/>
      <protection/>
    </xf>
    <xf numFmtId="9" fontId="1" fillId="34" borderId="0" xfId="45" applyFont="1" applyFill="1" applyBorder="1" applyAlignment="1" applyProtection="1">
      <alignment/>
      <protection/>
    </xf>
    <xf numFmtId="3" fontId="0" fillId="34" borderId="0" xfId="0" applyNumberFormat="1" applyFont="1" applyFill="1" applyAlignment="1" applyProtection="1">
      <alignment/>
      <protection/>
    </xf>
    <xf numFmtId="3" fontId="0" fillId="34" borderId="0" xfId="0" applyNumberFormat="1" applyFont="1" applyFill="1" applyAlignment="1" applyProtection="1">
      <alignment wrapText="1"/>
      <protection/>
    </xf>
    <xf numFmtId="3" fontId="0" fillId="34" borderId="0" xfId="0" applyNumberFormat="1" applyFont="1" applyFill="1" applyAlignment="1" applyProtection="1">
      <alignment vertical="top"/>
      <protection/>
    </xf>
    <xf numFmtId="0" fontId="0" fillId="34" borderId="0" xfId="0" applyFill="1" applyAlignment="1">
      <alignment/>
    </xf>
    <xf numFmtId="0" fontId="0" fillId="33" borderId="0" xfId="0" applyFill="1" applyAlignment="1">
      <alignment/>
    </xf>
    <xf numFmtId="0" fontId="1" fillId="33" borderId="0" xfId="0" applyFont="1" applyFill="1" applyAlignment="1">
      <alignment/>
    </xf>
    <xf numFmtId="3" fontId="4" fillId="33" borderId="0" xfId="0" applyNumberFormat="1" applyFont="1" applyFill="1" applyBorder="1" applyAlignment="1" applyProtection="1">
      <alignment/>
      <protection locked="0"/>
    </xf>
    <xf numFmtId="10" fontId="2" fillId="33" borderId="0" xfId="0" applyNumberFormat="1" applyFont="1" applyFill="1" applyAlignment="1">
      <alignment horizontal="right"/>
    </xf>
    <xf numFmtId="0" fontId="0" fillId="33" borderId="0" xfId="0" applyFill="1" applyAlignment="1">
      <alignment horizontal="center"/>
    </xf>
    <xf numFmtId="3" fontId="0" fillId="33" borderId="0" xfId="33" applyNumberFormat="1" applyFont="1" applyFill="1" applyAlignment="1">
      <alignment/>
    </xf>
    <xf numFmtId="0" fontId="0" fillId="33" borderId="0" xfId="0" applyFill="1" applyAlignment="1">
      <alignment wrapText="1"/>
    </xf>
    <xf numFmtId="0" fontId="0" fillId="33" borderId="0" xfId="0" applyFill="1" applyAlignment="1">
      <alignment horizontal="center" vertical="center" wrapText="1"/>
    </xf>
    <xf numFmtId="3" fontId="1" fillId="33" borderId="0" xfId="33" applyNumberFormat="1" applyFont="1" applyFill="1" applyAlignment="1">
      <alignment/>
    </xf>
    <xf numFmtId="3" fontId="2" fillId="33" borderId="0" xfId="33" applyNumberFormat="1" applyFont="1" applyFill="1" applyAlignment="1">
      <alignment/>
    </xf>
    <xf numFmtId="0" fontId="2" fillId="33" borderId="0" xfId="0" applyFont="1" applyFill="1" applyAlignment="1">
      <alignment horizontal="center"/>
    </xf>
    <xf numFmtId="3" fontId="4" fillId="33" borderId="0" xfId="0" applyNumberFormat="1" applyFont="1" applyFill="1" applyBorder="1" applyAlignment="1" applyProtection="1">
      <alignment/>
      <protection locked="0"/>
    </xf>
    <xf numFmtId="0" fontId="4" fillId="33" borderId="0" xfId="0" applyFont="1" applyFill="1" applyAlignment="1">
      <alignment/>
    </xf>
    <xf numFmtId="0" fontId="0" fillId="33" borderId="0" xfId="0" applyFill="1" applyAlignment="1">
      <alignment horizontal="left" vertical="center"/>
    </xf>
    <xf numFmtId="3" fontId="4" fillId="33" borderId="0" xfId="0" applyNumberFormat="1" applyFont="1" applyFill="1" applyAlignment="1">
      <alignment/>
    </xf>
    <xf numFmtId="0" fontId="0" fillId="33" borderId="0" xfId="0" applyFont="1" applyFill="1" applyAlignment="1">
      <alignment/>
    </xf>
    <xf numFmtId="0" fontId="2" fillId="33" borderId="0" xfId="0" applyFont="1" applyFill="1" applyAlignment="1">
      <alignment horizontal="left"/>
    </xf>
    <xf numFmtId="0" fontId="0" fillId="36" borderId="0" xfId="0" applyFill="1" applyAlignment="1">
      <alignment/>
    </xf>
    <xf numFmtId="0" fontId="0" fillId="36" borderId="0" xfId="0" applyFill="1" applyAlignment="1">
      <alignment/>
    </xf>
    <xf numFmtId="0" fontId="4" fillId="36" borderId="0" xfId="0" applyFont="1" applyFill="1" applyAlignment="1">
      <alignment/>
    </xf>
    <xf numFmtId="0" fontId="1" fillId="36" borderId="0" xfId="0" applyFont="1" applyFill="1" applyAlignment="1">
      <alignment/>
    </xf>
    <xf numFmtId="0" fontId="0" fillId="37" borderId="0" xfId="0" applyFill="1" applyAlignment="1">
      <alignment/>
    </xf>
    <xf numFmtId="0" fontId="0" fillId="37" borderId="0" xfId="0" applyFill="1" applyAlignment="1">
      <alignment/>
    </xf>
    <xf numFmtId="0" fontId="4" fillId="37" borderId="0" xfId="0" applyFont="1" applyFill="1" applyAlignment="1">
      <alignment/>
    </xf>
    <xf numFmtId="0" fontId="1" fillId="37" borderId="0" xfId="0" applyFont="1" applyFill="1" applyAlignment="1">
      <alignment/>
    </xf>
    <xf numFmtId="0" fontId="0" fillId="38" borderId="0" xfId="0" applyFill="1" applyAlignment="1">
      <alignment/>
    </xf>
    <xf numFmtId="0" fontId="0" fillId="39" borderId="0" xfId="0" applyFill="1" applyAlignment="1">
      <alignment/>
    </xf>
    <xf numFmtId="3" fontId="0" fillId="34" borderId="0" xfId="0" applyNumberFormat="1" applyFill="1" applyAlignment="1">
      <alignment/>
    </xf>
    <xf numFmtId="3" fontId="0" fillId="33"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5" borderId="0" xfId="0" applyNumberFormat="1" applyFont="1" applyFill="1" applyAlignment="1" applyProtection="1">
      <alignment horizontal="right"/>
      <protection locked="0"/>
    </xf>
    <xf numFmtId="3" fontId="2" fillId="33" borderId="0" xfId="0" applyNumberFormat="1" applyFont="1" applyFill="1" applyAlignment="1" applyProtection="1">
      <alignment/>
      <protection locked="0"/>
    </xf>
    <xf numFmtId="3" fontId="0" fillId="34" borderId="0" xfId="0" applyNumberFormat="1" applyFont="1" applyFill="1" applyBorder="1" applyAlignment="1" applyProtection="1">
      <alignment horizontal="left" wrapText="1"/>
      <protection/>
    </xf>
    <xf numFmtId="3" fontId="0" fillId="34" borderId="0" xfId="0" applyNumberFormat="1" applyFont="1" applyFill="1" applyAlignment="1" applyProtection="1">
      <alignment vertical="top" wrapText="1"/>
      <protection/>
    </xf>
    <xf numFmtId="3" fontId="0" fillId="33"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35" borderId="0" xfId="0" applyNumberFormat="1" applyFont="1" applyFill="1" applyAlignment="1" applyProtection="1">
      <alignment horizontal="left"/>
      <protection/>
    </xf>
    <xf numFmtId="3" fontId="0" fillId="35" borderId="0" xfId="0" applyNumberFormat="1" applyFont="1" applyFill="1" applyAlignment="1" applyProtection="1">
      <alignment horizontal="right"/>
      <protection/>
    </xf>
    <xf numFmtId="3" fontId="0" fillId="35" borderId="0" xfId="0" applyNumberFormat="1" applyFont="1" applyFill="1" applyAlignment="1" applyProtection="1">
      <alignment/>
      <protection/>
    </xf>
    <xf numFmtId="3" fontId="0"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protection/>
    </xf>
    <xf numFmtId="3" fontId="4" fillId="33" borderId="0" xfId="0" applyNumberFormat="1" applyFont="1" applyFill="1" applyAlignment="1" applyProtection="1">
      <alignment/>
      <protection/>
    </xf>
    <xf numFmtId="3" fontId="2" fillId="33" borderId="0" xfId="0" applyNumberFormat="1" applyFont="1" applyFill="1" applyBorder="1" applyAlignment="1" applyProtection="1">
      <alignment/>
      <protection/>
    </xf>
    <xf numFmtId="3" fontId="2" fillId="33" borderId="0" xfId="0" applyNumberFormat="1" applyFont="1" applyFill="1" applyAlignment="1" applyProtection="1">
      <alignment/>
      <protection/>
    </xf>
    <xf numFmtId="3" fontId="0"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82" fontId="0" fillId="33" borderId="0" xfId="0" applyNumberFormat="1" applyFont="1" applyFill="1" applyBorder="1" applyAlignment="1" applyProtection="1">
      <alignment horizontal="right"/>
      <protection/>
    </xf>
    <xf numFmtId="182" fontId="0" fillId="33" borderId="0" xfId="0" applyNumberFormat="1" applyFont="1" applyFill="1" applyBorder="1" applyAlignment="1" applyProtection="1">
      <alignment/>
      <protection/>
    </xf>
    <xf numFmtId="181" fontId="0" fillId="35" borderId="0" xfId="45" applyNumberFormat="1" applyFont="1" applyFill="1" applyBorder="1" applyAlignment="1" applyProtection="1">
      <alignment/>
      <protection/>
    </xf>
    <xf numFmtId="9" fontId="0" fillId="33" borderId="0" xfId="45" applyFont="1" applyFill="1" applyBorder="1" applyAlignment="1" applyProtection="1">
      <alignment/>
      <protection/>
    </xf>
    <xf numFmtId="3" fontId="5" fillId="35" borderId="0" xfId="0" applyNumberFormat="1" applyFont="1" applyFill="1" applyBorder="1" applyAlignment="1" applyProtection="1">
      <alignment/>
      <protection/>
    </xf>
    <xf numFmtId="0" fontId="0" fillId="33" borderId="0" xfId="0" applyFill="1" applyAlignment="1" applyProtection="1">
      <alignment vertical="center"/>
      <protection/>
    </xf>
    <xf numFmtId="0" fontId="0" fillId="33" borderId="0" xfId="0"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wrapText="1"/>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3" fontId="0" fillId="33" borderId="0" xfId="33" applyNumberFormat="1" applyFont="1" applyFill="1" applyAlignment="1" applyProtection="1">
      <alignment/>
      <protection/>
    </xf>
    <xf numFmtId="0" fontId="0" fillId="34"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hidden="1"/>
    </xf>
    <xf numFmtId="3" fontId="1" fillId="35"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5"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5"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4" borderId="13" xfId="0" applyNumberFormat="1" applyFont="1" applyFill="1" applyBorder="1" applyAlignment="1" applyProtection="1">
      <alignment/>
      <protection/>
    </xf>
    <xf numFmtId="3" fontId="0" fillId="34" borderId="14" xfId="0" applyNumberFormat="1" applyFont="1" applyFill="1" applyBorder="1" applyAlignment="1" applyProtection="1">
      <alignment/>
      <protection/>
    </xf>
    <xf numFmtId="9" fontId="1" fillId="34" borderId="14" xfId="45" applyFont="1" applyFill="1" applyBorder="1" applyAlignment="1" applyProtection="1">
      <alignment/>
      <protection/>
    </xf>
    <xf numFmtId="3" fontId="0" fillId="34" borderId="15" xfId="0" applyNumberFormat="1" applyFont="1" applyFill="1" applyBorder="1" applyAlignment="1" applyProtection="1">
      <alignment/>
      <protection/>
    </xf>
    <xf numFmtId="3" fontId="0" fillId="34" borderId="12" xfId="0" applyNumberFormat="1" applyFont="1" applyFill="1" applyBorder="1" applyAlignment="1" applyProtection="1">
      <alignment wrapText="1"/>
      <protection/>
    </xf>
    <xf numFmtId="3" fontId="0" fillId="34" borderId="16" xfId="0" applyNumberFormat="1" applyFont="1" applyFill="1" applyBorder="1" applyAlignment="1" applyProtection="1">
      <alignment wrapText="1"/>
      <protection/>
    </xf>
    <xf numFmtId="3" fontId="0" fillId="34" borderId="12" xfId="0" applyNumberFormat="1" applyFont="1" applyFill="1" applyBorder="1" applyAlignment="1" applyProtection="1">
      <alignment vertical="top" wrapText="1"/>
      <protection/>
    </xf>
    <xf numFmtId="3" fontId="0" fillId="34" borderId="16" xfId="0" applyNumberFormat="1" applyFont="1" applyFill="1" applyBorder="1" applyAlignment="1" applyProtection="1">
      <alignment vertical="top" wrapText="1"/>
      <protection/>
    </xf>
    <xf numFmtId="3" fontId="0" fillId="34" borderId="12" xfId="0" applyNumberFormat="1" applyFont="1" applyFill="1" applyBorder="1" applyAlignment="1" applyProtection="1">
      <alignment/>
      <protection/>
    </xf>
    <xf numFmtId="3" fontId="0" fillId="34" borderId="16" xfId="0" applyNumberFormat="1" applyFont="1" applyFill="1" applyBorder="1" applyAlignment="1" applyProtection="1">
      <alignment/>
      <protection/>
    </xf>
    <xf numFmtId="3" fontId="0" fillId="34" borderId="17" xfId="0" applyNumberFormat="1" applyFont="1" applyFill="1" applyBorder="1" applyAlignment="1" applyProtection="1">
      <alignment vertical="top"/>
      <protection/>
    </xf>
    <xf numFmtId="3" fontId="0" fillId="34" borderId="11" xfId="0" applyNumberFormat="1" applyFont="1" applyFill="1" applyBorder="1" applyAlignment="1" applyProtection="1">
      <alignment vertical="top"/>
      <protection/>
    </xf>
    <xf numFmtId="10" fontId="0" fillId="35" borderId="0" xfId="49" applyNumberFormat="1" applyFont="1" applyFill="1" applyAlignment="1" applyProtection="1">
      <alignment/>
      <protection locked="0"/>
    </xf>
    <xf numFmtId="9" fontId="0" fillId="35" borderId="0" xfId="45" applyFont="1" applyFill="1" applyAlignment="1" applyProtection="1">
      <alignment horizontal="right"/>
      <protection/>
    </xf>
    <xf numFmtId="3" fontId="10" fillId="33" borderId="0" xfId="0" applyNumberFormat="1" applyFont="1" applyFill="1" applyAlignment="1" applyProtection="1">
      <alignment/>
      <protection/>
    </xf>
    <xf numFmtId="0" fontId="8"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wrapText="1"/>
      <protection/>
    </xf>
    <xf numFmtId="0" fontId="9" fillId="35" borderId="19" xfId="0" applyFont="1" applyFill="1" applyBorder="1" applyAlignment="1" applyProtection="1">
      <alignment horizontal="center" vertical="top" wrapText="1"/>
      <protection/>
    </xf>
    <xf numFmtId="0" fontId="9" fillId="35" borderId="19" xfId="0" applyFont="1" applyFill="1" applyBorder="1" applyAlignment="1" applyProtection="1">
      <alignment vertical="top" wrapText="1"/>
      <protection/>
    </xf>
    <xf numFmtId="0" fontId="8" fillId="35" borderId="19" xfId="0" applyFont="1" applyFill="1" applyBorder="1" applyAlignment="1" applyProtection="1">
      <alignment horizontal="left" vertical="center" wrapText="1"/>
      <protection/>
    </xf>
    <xf numFmtId="3" fontId="9" fillId="33" borderId="19" xfId="0" applyNumberFormat="1" applyFont="1" applyFill="1" applyBorder="1" applyAlignment="1" applyProtection="1">
      <alignment horizontal="center"/>
      <protection/>
    </xf>
    <xf numFmtId="0" fontId="9" fillId="33" borderId="19" xfId="0" applyFont="1" applyFill="1" applyBorder="1" applyAlignment="1" applyProtection="1">
      <alignment/>
      <protection/>
    </xf>
    <xf numFmtId="9" fontId="12" fillId="33" borderId="19" xfId="45" applyFont="1" applyFill="1" applyBorder="1" applyAlignment="1" applyProtection="1">
      <alignment horizontal="center"/>
      <protection/>
    </xf>
    <xf numFmtId="0" fontId="9" fillId="33" borderId="0" xfId="0" applyFont="1" applyFill="1" applyBorder="1" applyAlignment="1" applyProtection="1">
      <alignment/>
      <protection/>
    </xf>
    <xf numFmtId="9" fontId="12" fillId="33" borderId="0" xfId="45" applyFont="1" applyFill="1" applyBorder="1" applyAlignment="1" applyProtection="1">
      <alignment horizontal="center"/>
      <protection/>
    </xf>
    <xf numFmtId="169" fontId="9" fillId="33" borderId="0" xfId="0" applyNumberFormat="1" applyFont="1" applyFill="1" applyBorder="1" applyAlignment="1" applyProtection="1">
      <alignment/>
      <protection/>
    </xf>
    <xf numFmtId="0" fontId="8" fillId="40" borderId="19" xfId="0" applyFont="1" applyFill="1" applyBorder="1" applyAlignment="1" applyProtection="1">
      <alignment horizontal="left" vertical="center" wrapText="1"/>
      <protection/>
    </xf>
    <xf numFmtId="0" fontId="9" fillId="40" borderId="19" xfId="0" applyFont="1" applyFill="1" applyBorder="1" applyAlignment="1" applyProtection="1">
      <alignment horizontal="center" wrapText="1"/>
      <protection/>
    </xf>
    <xf numFmtId="3" fontId="9" fillId="35" borderId="19" xfId="0" applyNumberFormat="1" applyFont="1" applyFill="1" applyBorder="1" applyAlignment="1" applyProtection="1">
      <alignment horizontal="center"/>
      <protection/>
    </xf>
    <xf numFmtId="195" fontId="9" fillId="35" borderId="19" xfId="0" applyNumberFormat="1" applyFont="1" applyFill="1" applyBorder="1" applyAlignment="1" applyProtection="1">
      <alignment/>
      <protection/>
    </xf>
    <xf numFmtId="169" fontId="9" fillId="35" borderId="19" xfId="0" applyNumberFormat="1" applyFont="1" applyFill="1" applyBorder="1" applyAlignment="1" applyProtection="1">
      <alignment/>
      <protection/>
    </xf>
    <xf numFmtId="0" fontId="9" fillId="35"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4" borderId="0" xfId="0" applyNumberFormat="1" applyFont="1" applyFill="1" applyBorder="1" applyAlignment="1" applyProtection="1">
      <alignment/>
      <protection locked="0"/>
    </xf>
    <xf numFmtId="3" fontId="0" fillId="35" borderId="0" xfId="0" applyNumberFormat="1" applyFont="1" applyFill="1" applyBorder="1" applyAlignment="1" applyProtection="1">
      <alignment horizontal="left"/>
      <protection/>
    </xf>
    <xf numFmtId="3" fontId="0" fillId="35" borderId="0" xfId="0" applyNumberFormat="1" applyFont="1" applyFill="1" applyBorder="1" applyAlignment="1" applyProtection="1">
      <alignment horizontal="right"/>
      <protection/>
    </xf>
    <xf numFmtId="181" fontId="0" fillId="35" borderId="0" xfId="45" applyNumberFormat="1" applyFont="1" applyFill="1" applyBorder="1" applyAlignment="1" applyProtection="1">
      <alignment horizontal="left"/>
      <protection/>
    </xf>
    <xf numFmtId="3" fontId="0" fillId="33" borderId="0" xfId="0" applyNumberFormat="1" applyFont="1" applyFill="1" applyAlignment="1" applyProtection="1">
      <alignment/>
      <protection locked="0"/>
    </xf>
    <xf numFmtId="193" fontId="0" fillId="35" borderId="0" xfId="0" applyNumberFormat="1" applyFont="1" applyFill="1" applyAlignment="1" applyProtection="1">
      <alignment/>
      <protection/>
    </xf>
    <xf numFmtId="182" fontId="0" fillId="35" borderId="0" xfId="0" applyNumberFormat="1" applyFill="1" applyAlignment="1" applyProtection="1">
      <alignment/>
      <protection/>
    </xf>
    <xf numFmtId="3" fontId="2" fillId="35" borderId="0" xfId="0" applyNumberFormat="1"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left"/>
      <protection/>
    </xf>
    <xf numFmtId="3" fontId="0" fillId="35" borderId="0" xfId="0" applyNumberFormat="1" applyFill="1" applyAlignment="1" applyProtection="1">
      <alignment horizontal="left"/>
      <protection/>
    </xf>
    <xf numFmtId="0" fontId="0" fillId="35" borderId="0" xfId="0" applyFill="1" applyAlignment="1">
      <alignment horizontal="left"/>
    </xf>
    <xf numFmtId="0" fontId="0" fillId="35" borderId="0" xfId="0" applyFill="1" applyAlignment="1">
      <alignment/>
    </xf>
    <xf numFmtId="3" fontId="4" fillId="35" borderId="0" xfId="0" applyNumberFormat="1" applyFont="1" applyFill="1" applyBorder="1" applyAlignment="1" applyProtection="1">
      <alignment/>
      <protection locked="0"/>
    </xf>
    <xf numFmtId="3" fontId="0" fillId="35" borderId="0" xfId="0" applyNumberFormat="1" applyFont="1" applyFill="1" applyBorder="1" applyAlignment="1" applyProtection="1">
      <alignment/>
      <protection/>
    </xf>
    <xf numFmtId="0" fontId="13" fillId="33" borderId="0" xfId="0" applyFont="1" applyFill="1" applyAlignment="1" applyProtection="1">
      <alignment/>
      <protection/>
    </xf>
    <xf numFmtId="3" fontId="0" fillId="35" borderId="0" xfId="0" applyNumberFormat="1" applyFill="1" applyBorder="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quotePrefix="1">
      <alignment/>
      <protection/>
    </xf>
    <xf numFmtId="0" fontId="13" fillId="34" borderId="0" xfId="0" applyFont="1" applyFill="1" applyBorder="1" applyAlignment="1" applyProtection="1">
      <alignment/>
      <protection/>
    </xf>
    <xf numFmtId="0" fontId="0" fillId="33" borderId="0" xfId="0" applyFill="1" applyAlignment="1" applyProtection="1">
      <alignment vertical="top"/>
      <protection/>
    </xf>
    <xf numFmtId="3" fontId="1" fillId="35" borderId="0" xfId="0" applyNumberFormat="1" applyFont="1" applyFill="1" applyBorder="1" applyAlignment="1" applyProtection="1">
      <alignment/>
      <protection/>
    </xf>
    <xf numFmtId="169" fontId="0" fillId="35" borderId="0" xfId="0" applyNumberFormat="1" applyFill="1" applyAlignment="1">
      <alignment horizontal="left"/>
    </xf>
    <xf numFmtId="0" fontId="4" fillId="33" borderId="0" xfId="0" applyFont="1" applyFill="1" applyAlignment="1" applyProtection="1">
      <alignment/>
      <protection/>
    </xf>
    <xf numFmtId="0" fontId="0" fillId="35" borderId="0" xfId="0" applyFill="1" applyAlignment="1" applyProtection="1">
      <alignment/>
      <protection locked="0"/>
    </xf>
    <xf numFmtId="9" fontId="0" fillId="35"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35" borderId="0" xfId="45" applyNumberFormat="1" applyFont="1" applyFill="1" applyAlignment="1" applyProtection="1">
      <alignment/>
      <protection/>
    </xf>
    <xf numFmtId="3" fontId="0" fillId="35" borderId="0" xfId="0" applyNumberFormat="1" applyFont="1" applyFill="1" applyAlignment="1" applyProtection="1">
      <alignment wrapText="1"/>
      <protection/>
    </xf>
    <xf numFmtId="3" fontId="1" fillId="35"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33" borderId="19" xfId="0" applyNumberFormat="1" applyFont="1" applyFill="1" applyBorder="1" applyAlignment="1" applyProtection="1">
      <alignment vertical="center"/>
      <protection/>
    </xf>
    <xf numFmtId="171" fontId="8" fillId="33" borderId="19" xfId="0" applyNumberFormat="1" applyFont="1" applyFill="1" applyBorder="1" applyAlignment="1" applyProtection="1">
      <alignment vertical="center"/>
      <protection/>
    </xf>
    <xf numFmtId="171" fontId="9" fillId="33" borderId="19" xfId="0" applyNumberFormat="1" applyFont="1" applyFill="1" applyBorder="1" applyAlignment="1" applyProtection="1">
      <alignment/>
      <protection/>
    </xf>
    <xf numFmtId="197" fontId="0" fillId="3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33" borderId="0" xfId="0" applyNumberFormat="1" applyFont="1" applyFill="1" applyAlignment="1">
      <alignment/>
    </xf>
    <xf numFmtId="4" fontId="0" fillId="33" borderId="0" xfId="0" applyNumberFormat="1" applyFill="1" applyAlignment="1">
      <alignment/>
    </xf>
    <xf numFmtId="4" fontId="0" fillId="34" borderId="0" xfId="0" applyNumberFormat="1" applyFill="1" applyAlignment="1">
      <alignment/>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4" fontId="0" fillId="34" borderId="0" xfId="0" applyNumberFormat="1" applyFont="1" applyFill="1" applyBorder="1" applyAlignment="1" applyProtection="1">
      <alignment/>
      <protection locked="0"/>
    </xf>
    <xf numFmtId="4" fontId="0" fillId="35" borderId="0" xfId="0" applyNumberFormat="1" applyFont="1" applyFill="1" applyBorder="1" applyAlignment="1" applyProtection="1">
      <alignment/>
      <protection/>
    </xf>
    <xf numFmtId="4" fontId="0" fillId="35" borderId="0" xfId="0" applyNumberFormat="1" applyFont="1" applyFill="1" applyAlignment="1" applyProtection="1">
      <alignment/>
      <protection/>
    </xf>
    <xf numFmtId="9" fontId="9" fillId="33" borderId="19" xfId="45" applyNumberFormat="1" applyFont="1" applyFill="1" applyBorder="1" applyAlignment="1" applyProtection="1">
      <alignment horizontal="center" vertical="center"/>
      <protection/>
    </xf>
    <xf numFmtId="9" fontId="8" fillId="33" borderId="19" xfId="45" applyNumberFormat="1" applyFont="1" applyFill="1" applyBorder="1" applyAlignment="1" applyProtection="1">
      <alignment horizontal="center" vertical="center"/>
      <protection/>
    </xf>
    <xf numFmtId="206" fontId="1" fillId="33" borderId="0" xfId="0" applyNumberFormat="1" applyFont="1" applyFill="1" applyBorder="1" applyAlignment="1" applyProtection="1">
      <alignment horizontal="right"/>
      <protection/>
    </xf>
    <xf numFmtId="206" fontId="1" fillId="33" borderId="0" xfId="0" applyNumberFormat="1" applyFont="1" applyFill="1" applyBorder="1" applyAlignment="1" applyProtection="1">
      <alignment/>
      <protection/>
    </xf>
    <xf numFmtId="0" fontId="8" fillId="33" borderId="0" xfId="0" applyFont="1" applyFill="1" applyAlignment="1" applyProtection="1">
      <alignment/>
      <protection/>
    </xf>
    <xf numFmtId="0" fontId="15" fillId="33" borderId="0" xfId="0" applyFont="1" applyFill="1" applyAlignment="1" applyProtection="1">
      <alignment/>
      <protection/>
    </xf>
    <xf numFmtId="169" fontId="8" fillId="33" borderId="0" xfId="0" applyNumberFormat="1" applyFont="1" applyFill="1" applyAlignment="1" applyProtection="1">
      <alignment/>
      <protection/>
    </xf>
    <xf numFmtId="3" fontId="9" fillId="35" borderId="0" xfId="0" applyNumberFormat="1" applyFont="1" applyFill="1" applyAlignment="1" applyProtection="1">
      <alignment/>
      <protection/>
    </xf>
    <xf numFmtId="9" fontId="9" fillId="35" borderId="0" xfId="45" applyFont="1" applyFill="1" applyAlignment="1" applyProtection="1">
      <alignment/>
      <protection/>
    </xf>
    <xf numFmtId="10" fontId="9" fillId="35" borderId="0" xfId="45" applyNumberFormat="1" applyFont="1" applyFill="1" applyAlignment="1" applyProtection="1">
      <alignment/>
      <protection/>
    </xf>
    <xf numFmtId="3" fontId="9" fillId="40" borderId="20" xfId="0" applyNumberFormat="1" applyFont="1" applyFill="1" applyBorder="1" applyAlignment="1" applyProtection="1">
      <alignment/>
      <protection/>
    </xf>
    <xf numFmtId="2" fontId="9" fillId="40" borderId="20" xfId="0" applyNumberFormat="1" applyFont="1" applyFill="1" applyBorder="1" applyAlignment="1">
      <alignment horizontal="center"/>
    </xf>
    <xf numFmtId="2" fontId="9" fillId="40" borderId="21" xfId="0" applyNumberFormat="1" applyFont="1" applyFill="1" applyBorder="1" applyAlignment="1">
      <alignment/>
    </xf>
    <xf numFmtId="2" fontId="9" fillId="35" borderId="0" xfId="0" applyNumberFormat="1" applyFont="1" applyFill="1" applyAlignment="1">
      <alignment/>
    </xf>
    <xf numFmtId="3" fontId="9" fillId="40" borderId="0" xfId="0" applyNumberFormat="1" applyFont="1" applyFill="1" applyBorder="1" applyAlignment="1" applyProtection="1">
      <alignment/>
      <protection/>
    </xf>
    <xf numFmtId="2" fontId="9" fillId="40" borderId="0" xfId="0" applyNumberFormat="1" applyFont="1" applyFill="1" applyBorder="1" applyAlignment="1">
      <alignment horizontal="center"/>
    </xf>
    <xf numFmtId="2" fontId="9" fillId="40" borderId="22" xfId="0" applyNumberFormat="1" applyFont="1" applyFill="1" applyBorder="1" applyAlignment="1">
      <alignment/>
    </xf>
    <xf numFmtId="2" fontId="9" fillId="40" borderId="23" xfId="0" applyNumberFormat="1" applyFont="1" applyFill="1" applyBorder="1" applyAlignment="1">
      <alignment/>
    </xf>
    <xf numFmtId="3" fontId="9" fillId="40" borderId="23" xfId="0" applyNumberFormat="1" applyFont="1" applyFill="1" applyBorder="1" applyAlignment="1" applyProtection="1">
      <alignment horizontal="center"/>
      <protection/>
    </xf>
    <xf numFmtId="3" fontId="9" fillId="40" borderId="24" xfId="0" applyNumberFormat="1" applyFont="1" applyFill="1" applyBorder="1" applyAlignment="1" applyProtection="1">
      <alignment horizontal="center"/>
      <protection/>
    </xf>
    <xf numFmtId="3" fontId="9" fillId="35" borderId="25" xfId="0" applyNumberFormat="1" applyFont="1" applyFill="1" applyBorder="1" applyAlignment="1" applyProtection="1">
      <alignment/>
      <protection/>
    </xf>
    <xf numFmtId="3" fontId="9" fillId="35" borderId="20" xfId="0" applyNumberFormat="1" applyFont="1" applyFill="1" applyBorder="1" applyAlignment="1" applyProtection="1">
      <alignment/>
      <protection/>
    </xf>
    <xf numFmtId="3" fontId="9" fillId="35" borderId="18" xfId="0" applyNumberFormat="1" applyFont="1" applyFill="1" applyBorder="1" applyAlignment="1" applyProtection="1">
      <alignment horizontal="center"/>
      <protection/>
    </xf>
    <xf numFmtId="3" fontId="9" fillId="35" borderId="18" xfId="0" applyNumberFormat="1" applyFont="1" applyFill="1" applyBorder="1" applyAlignment="1" applyProtection="1">
      <alignment/>
      <protection/>
    </xf>
    <xf numFmtId="3" fontId="9" fillId="35" borderId="26" xfId="0" applyNumberFormat="1" applyFont="1" applyFill="1" applyBorder="1" applyAlignment="1" applyProtection="1">
      <alignment/>
      <protection/>
    </xf>
    <xf numFmtId="9" fontId="9" fillId="35" borderId="27" xfId="45" applyFont="1" applyFill="1" applyBorder="1" applyAlignment="1" applyProtection="1">
      <alignment horizontal="center"/>
      <protection/>
    </xf>
    <xf numFmtId="10" fontId="9" fillId="35" borderId="27" xfId="45" applyNumberFormat="1" applyFont="1" applyFill="1" applyBorder="1" applyAlignment="1" applyProtection="1">
      <alignment horizontal="center"/>
      <protection/>
    </xf>
    <xf numFmtId="209" fontId="9" fillId="35" borderId="27" xfId="45" applyNumberFormat="1" applyFont="1" applyFill="1" applyBorder="1" applyAlignment="1" applyProtection="1">
      <alignment horizontal="left"/>
      <protection/>
    </xf>
    <xf numFmtId="3" fontId="9" fillId="35" borderId="0" xfId="0" applyNumberFormat="1" applyFont="1" applyFill="1" applyBorder="1" applyAlignment="1" applyProtection="1">
      <alignment/>
      <protection/>
    </xf>
    <xf numFmtId="3" fontId="9" fillId="35" borderId="22" xfId="0" applyNumberFormat="1" applyFont="1" applyFill="1" applyBorder="1" applyAlignment="1" applyProtection="1">
      <alignment/>
      <protection/>
    </xf>
    <xf numFmtId="3" fontId="9" fillId="35" borderId="27" xfId="0" applyNumberFormat="1" applyFont="1" applyFill="1" applyBorder="1" applyAlignment="1" applyProtection="1">
      <alignment horizontal="center"/>
      <protection/>
    </xf>
    <xf numFmtId="3" fontId="9" fillId="35" borderId="27" xfId="0" applyNumberFormat="1" applyFont="1" applyFill="1" applyBorder="1" applyAlignment="1" applyProtection="1">
      <alignment/>
      <protection/>
    </xf>
    <xf numFmtId="3" fontId="9" fillId="35" borderId="0" xfId="0" applyNumberFormat="1" applyFont="1" applyFill="1" applyBorder="1" applyAlignment="1" applyProtection="1">
      <alignment horizontal="right"/>
      <protection/>
    </xf>
    <xf numFmtId="4" fontId="9" fillId="35" borderId="0" xfId="0" applyNumberFormat="1" applyFont="1" applyFill="1" applyBorder="1" applyAlignment="1" applyProtection="1">
      <alignment/>
      <protection/>
    </xf>
    <xf numFmtId="4" fontId="9" fillId="35" borderId="22" xfId="0" applyNumberFormat="1" applyFont="1" applyFill="1" applyBorder="1" applyAlignment="1" applyProtection="1">
      <alignment/>
      <protection/>
    </xf>
    <xf numFmtId="10" fontId="9" fillId="35" borderId="19" xfId="45" applyNumberFormat="1" applyFont="1" applyFill="1" applyBorder="1" applyAlignment="1" applyProtection="1">
      <alignment horizontal="center"/>
      <protection/>
    </xf>
    <xf numFmtId="4" fontId="9" fillId="35" borderId="19" xfId="33" applyNumberFormat="1" applyFont="1" applyFill="1" applyBorder="1" applyAlignment="1" applyProtection="1">
      <alignment/>
      <protection/>
    </xf>
    <xf numFmtId="3" fontId="9" fillId="35" borderId="23" xfId="0" applyNumberFormat="1" applyFont="1" applyFill="1" applyBorder="1" applyAlignment="1" applyProtection="1">
      <alignment/>
      <protection/>
    </xf>
    <xf numFmtId="3" fontId="9" fillId="35" borderId="24" xfId="0" applyNumberFormat="1" applyFont="1" applyFill="1" applyBorder="1" applyAlignment="1" applyProtection="1">
      <alignment/>
      <protection/>
    </xf>
    <xf numFmtId="4" fontId="9" fillId="35" borderId="0" xfId="0" applyNumberFormat="1" applyFont="1" applyFill="1" applyAlignment="1" applyProtection="1">
      <alignment horizontal="right"/>
      <protection/>
    </xf>
    <xf numFmtId="4" fontId="9" fillId="35" borderId="0" xfId="33" applyNumberFormat="1" applyFont="1" applyFill="1" applyAlignment="1" applyProtection="1">
      <alignment/>
      <protection/>
    </xf>
    <xf numFmtId="209" fontId="9" fillId="35" borderId="0" xfId="45" applyNumberFormat="1" applyFont="1" applyFill="1" applyAlignment="1" applyProtection="1">
      <alignment horizontal="left"/>
      <protection/>
    </xf>
    <xf numFmtId="0" fontId="8" fillId="35" borderId="0" xfId="0" applyFont="1" applyFill="1" applyAlignment="1" applyProtection="1">
      <alignment/>
      <protection/>
    </xf>
    <xf numFmtId="3" fontId="8" fillId="35" borderId="0" xfId="0" applyNumberFormat="1" applyFont="1" applyFill="1" applyAlignment="1" applyProtection="1">
      <alignment/>
      <protection/>
    </xf>
    <xf numFmtId="0" fontId="9" fillId="35" borderId="0" xfId="0" applyFont="1" applyFill="1" applyAlignment="1" applyProtection="1">
      <alignment/>
      <protection/>
    </xf>
    <xf numFmtId="181" fontId="8" fillId="35" borderId="0" xfId="45" applyNumberFormat="1" applyFont="1" applyFill="1" applyAlignment="1" applyProtection="1">
      <alignment/>
      <protection/>
    </xf>
    <xf numFmtId="171" fontId="8" fillId="33" borderId="0" xfId="0" applyNumberFormat="1" applyFont="1" applyFill="1" applyAlignment="1" applyProtection="1">
      <alignment/>
      <protection/>
    </xf>
    <xf numFmtId="194" fontId="9" fillId="35" borderId="19" xfId="0" applyNumberFormat="1" applyFont="1" applyFill="1" applyBorder="1" applyAlignment="1" applyProtection="1">
      <alignment/>
      <protection/>
    </xf>
    <xf numFmtId="3" fontId="4" fillId="36" borderId="0" xfId="0" applyNumberFormat="1" applyFont="1" applyFill="1" applyAlignment="1" applyProtection="1">
      <alignment/>
      <protection locked="0"/>
    </xf>
    <xf numFmtId="3" fontId="4" fillId="36" borderId="0" xfId="0" applyNumberFormat="1" applyFont="1" applyFill="1" applyBorder="1" applyAlignment="1" applyProtection="1">
      <alignment/>
      <protection locked="0"/>
    </xf>
    <xf numFmtId="4" fontId="0" fillId="33" borderId="0" xfId="0" applyNumberFormat="1" applyFill="1" applyAlignment="1">
      <alignment horizontal="left"/>
    </xf>
    <xf numFmtId="4" fontId="1" fillId="33" borderId="0" xfId="0" applyNumberFormat="1" applyFont="1" applyFill="1" applyAlignment="1">
      <alignment/>
    </xf>
    <xf numFmtId="4" fontId="2" fillId="33" borderId="0" xfId="0" applyNumberFormat="1" applyFont="1" applyFill="1" applyAlignment="1">
      <alignment horizontal="left"/>
    </xf>
    <xf numFmtId="201" fontId="0" fillId="33" borderId="0" xfId="0" applyNumberFormat="1" applyFill="1" applyAlignment="1">
      <alignment/>
    </xf>
    <xf numFmtId="4" fontId="0" fillId="33" borderId="0" xfId="0" applyNumberFormat="1" applyFill="1" applyAlignment="1">
      <alignment/>
    </xf>
    <xf numFmtId="3" fontId="1" fillId="33" borderId="0" xfId="0" applyNumberFormat="1" applyFont="1" applyFill="1" applyBorder="1" applyAlignment="1" applyProtection="1">
      <alignment/>
      <protection locked="0"/>
    </xf>
    <xf numFmtId="0" fontId="1" fillId="36" borderId="0" xfId="0" applyFont="1" applyFill="1" applyAlignment="1">
      <alignment horizontal="left"/>
    </xf>
    <xf numFmtId="0" fontId="0" fillId="33" borderId="0" xfId="0" applyFont="1" applyFill="1" applyAlignment="1">
      <alignment/>
    </xf>
    <xf numFmtId="3" fontId="0" fillId="33" borderId="0" xfId="0" applyNumberFormat="1" applyFont="1" applyFill="1" applyBorder="1" applyAlignment="1" applyProtection="1">
      <alignment/>
      <protection locked="0"/>
    </xf>
    <xf numFmtId="0" fontId="2" fillId="33" borderId="0" xfId="0" applyFont="1" applyFill="1" applyAlignment="1">
      <alignment horizontal="right"/>
    </xf>
    <xf numFmtId="193" fontId="0" fillId="34" borderId="0" xfId="0" applyNumberFormat="1" applyFill="1" applyAlignment="1">
      <alignment/>
    </xf>
    <xf numFmtId="202" fontId="0" fillId="33" borderId="0" xfId="0" applyNumberFormat="1" applyFill="1" applyAlignment="1">
      <alignment/>
    </xf>
    <xf numFmtId="193" fontId="0" fillId="33" borderId="0" xfId="0" applyNumberFormat="1" applyFill="1" applyAlignment="1">
      <alignment/>
    </xf>
    <xf numFmtId="3" fontId="0" fillId="33" borderId="0" xfId="0" applyNumberFormat="1" applyFont="1" applyFill="1" applyAlignment="1">
      <alignment/>
    </xf>
    <xf numFmtId="201" fontId="0" fillId="34" borderId="0" xfId="0" applyNumberFormat="1" applyFill="1" applyAlignment="1">
      <alignment/>
    </xf>
    <xf numFmtId="203" fontId="0" fillId="33" borderId="0" xfId="0" applyNumberFormat="1" applyFill="1" applyAlignment="1">
      <alignment/>
    </xf>
    <xf numFmtId="4" fontId="1" fillId="33" borderId="0" xfId="0" applyNumberFormat="1" applyFont="1" applyFill="1" applyAlignment="1">
      <alignment horizontal="left"/>
    </xf>
    <xf numFmtId="3" fontId="1" fillId="33" borderId="0" xfId="0" applyNumberFormat="1" applyFont="1" applyFill="1" applyAlignment="1">
      <alignment/>
    </xf>
    <xf numFmtId="0" fontId="1" fillId="36" borderId="0" xfId="0" applyFont="1" applyFill="1" applyAlignment="1">
      <alignment/>
    </xf>
    <xf numFmtId="3" fontId="0" fillId="36" borderId="0" xfId="0" applyNumberFormat="1" applyFill="1" applyAlignment="1">
      <alignment/>
    </xf>
    <xf numFmtId="197" fontId="0" fillId="33" borderId="0" xfId="0" applyNumberFormat="1" applyFill="1" applyAlignment="1">
      <alignment/>
    </xf>
    <xf numFmtId="0" fontId="2" fillId="33" borderId="0" xfId="0" applyFont="1" applyFill="1" applyAlignment="1">
      <alignment/>
    </xf>
    <xf numFmtId="1" fontId="0" fillId="34" borderId="0" xfId="0" applyNumberFormat="1" applyFill="1" applyAlignment="1">
      <alignment/>
    </xf>
    <xf numFmtId="1" fontId="0" fillId="33" borderId="0" xfId="0" applyNumberFormat="1" applyFill="1" applyAlignment="1">
      <alignment/>
    </xf>
    <xf numFmtId="181" fontId="0" fillId="34" borderId="0" xfId="0" applyNumberFormat="1" applyFill="1" applyAlignment="1">
      <alignment/>
    </xf>
    <xf numFmtId="9" fontId="0" fillId="34" borderId="0" xfId="0" applyNumberFormat="1" applyFill="1" applyAlignment="1">
      <alignment/>
    </xf>
    <xf numFmtId="200" fontId="0" fillId="33"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34" borderId="0" xfId="0" applyFill="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3" fontId="0" fillId="33" borderId="0" xfId="0" applyNumberFormat="1" applyFill="1" applyAlignment="1" applyProtection="1">
      <alignment/>
      <protection/>
    </xf>
    <xf numFmtId="0" fontId="0" fillId="34" borderId="0" xfId="0" applyFill="1" applyAlignment="1" applyProtection="1">
      <alignment/>
      <protection/>
    </xf>
    <xf numFmtId="181" fontId="0" fillId="33" borderId="0" xfId="49" applyNumberFormat="1" applyFont="1" applyFill="1" applyAlignment="1" applyProtection="1">
      <alignment/>
      <protection/>
    </xf>
    <xf numFmtId="193" fontId="0" fillId="33" borderId="0" xfId="0" applyNumberFormat="1" applyFill="1" applyAlignment="1" applyProtection="1">
      <alignment/>
      <protection/>
    </xf>
    <xf numFmtId="3" fontId="0" fillId="34" borderId="0" xfId="33" applyNumberFormat="1" applyFont="1" applyFill="1" applyAlignment="1" applyProtection="1">
      <alignment/>
      <protection locked="0"/>
    </xf>
    <xf numFmtId="3" fontId="2" fillId="33" borderId="0" xfId="33" applyNumberFormat="1" applyFont="1" applyFill="1" applyAlignment="1" applyProtection="1">
      <alignment/>
      <protection/>
    </xf>
    <xf numFmtId="3" fontId="0" fillId="33" borderId="0" xfId="0" applyNumberFormat="1" applyFill="1" applyAlignment="1" applyProtection="1">
      <alignment wrapText="1"/>
      <protection/>
    </xf>
    <xf numFmtId="3" fontId="1" fillId="33" borderId="0" xfId="33" applyNumberFormat="1" applyFont="1" applyFill="1" applyAlignment="1" applyProtection="1">
      <alignment/>
      <protection/>
    </xf>
    <xf numFmtId="1" fontId="0" fillId="0" borderId="0" xfId="0" applyNumberFormat="1" applyFill="1" applyAlignment="1" applyProtection="1">
      <alignment/>
      <protection/>
    </xf>
    <xf numFmtId="1" fontId="0" fillId="33" borderId="0" xfId="0" applyNumberFormat="1" applyFill="1" applyAlignment="1" applyProtection="1">
      <alignment/>
      <protection/>
    </xf>
    <xf numFmtId="9" fontId="9" fillId="35" borderId="0" xfId="49" applyFont="1" applyFill="1" applyAlignment="1" applyProtection="1">
      <alignment/>
      <protection/>
    </xf>
    <xf numFmtId="10" fontId="9" fillId="35" borderId="0" xfId="49" applyNumberFormat="1" applyFont="1" applyFill="1" applyAlignment="1" applyProtection="1">
      <alignment/>
      <protection/>
    </xf>
    <xf numFmtId="10" fontId="1" fillId="35" borderId="0" xfId="49" applyNumberFormat="1" applyFont="1" applyFill="1" applyAlignment="1" applyProtection="1">
      <alignment/>
      <protection/>
    </xf>
    <xf numFmtId="9" fontId="0" fillId="35" borderId="0" xfId="49" applyFont="1" applyFill="1" applyAlignment="1" applyProtection="1">
      <alignment/>
      <protection/>
    </xf>
    <xf numFmtId="10" fontId="0" fillId="35"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5" borderId="0" xfId="0" applyNumberFormat="1" applyFont="1" applyFill="1" applyBorder="1" applyAlignment="1" applyProtection="1">
      <alignment horizontal="right"/>
      <protection/>
    </xf>
    <xf numFmtId="223" fontId="9" fillId="35" borderId="19" xfId="45" applyNumberFormat="1" applyFont="1" applyFill="1" applyBorder="1" applyAlignment="1" applyProtection="1">
      <alignment horizontal="center"/>
      <protection/>
    </xf>
    <xf numFmtId="3" fontId="9" fillId="35" borderId="19" xfId="0" applyNumberFormat="1" applyFont="1" applyFill="1" applyBorder="1" applyAlignment="1" applyProtection="1">
      <alignment/>
      <protection/>
    </xf>
    <xf numFmtId="4" fontId="9" fillId="35" borderId="19" xfId="0" applyNumberFormat="1" applyFont="1" applyFill="1" applyBorder="1" applyAlignment="1">
      <alignment horizontal="right"/>
    </xf>
    <xf numFmtId="9" fontId="9" fillId="35" borderId="19" xfId="0" applyNumberFormat="1" applyFont="1" applyFill="1" applyBorder="1" applyAlignment="1">
      <alignment horizontal="center"/>
    </xf>
    <xf numFmtId="10" fontId="9" fillId="35" borderId="19" xfId="0" applyNumberFormat="1" applyFont="1" applyFill="1" applyBorder="1" applyAlignment="1">
      <alignment horizontal="center"/>
    </xf>
    <xf numFmtId="0" fontId="9" fillId="35" borderId="19" xfId="0" applyFont="1" applyFill="1" applyBorder="1" applyAlignment="1">
      <alignment horizontal="center"/>
    </xf>
    <xf numFmtId="223" fontId="9" fillId="35" borderId="19" xfId="0" applyNumberFormat="1" applyFont="1" applyFill="1" applyBorder="1" applyAlignment="1">
      <alignment horizontal="center"/>
    </xf>
    <xf numFmtId="223" fontId="8" fillId="35"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41" borderId="0" xfId="0" applyNumberFormat="1" applyFont="1" applyFill="1" applyAlignment="1" applyProtection="1">
      <alignment/>
      <protection/>
    </xf>
    <xf numFmtId="10" fontId="1" fillId="41" borderId="0" xfId="45" applyNumberFormat="1" applyFont="1" applyFill="1" applyAlignment="1" applyProtection="1">
      <alignment horizontal="center"/>
      <protection/>
    </xf>
    <xf numFmtId="9" fontId="1" fillId="41" borderId="0" xfId="45" applyFont="1" applyFill="1" applyAlignment="1" applyProtection="1">
      <alignment/>
      <protection/>
    </xf>
    <xf numFmtId="43" fontId="9" fillId="33" borderId="19" xfId="0" applyNumberFormat="1" applyFont="1" applyFill="1" applyBorder="1" applyAlignment="1" applyProtection="1">
      <alignment vertical="center"/>
      <protection/>
    </xf>
    <xf numFmtId="0" fontId="0" fillId="0" borderId="0" xfId="0" applyBorder="1" applyAlignment="1" applyProtection="1">
      <alignment wrapText="1"/>
      <protection hidden="1"/>
    </xf>
    <xf numFmtId="0" fontId="0" fillId="34" borderId="30" xfId="0" applyFill="1" applyBorder="1" applyAlignment="1">
      <alignment horizontal="left" vertical="center" wrapText="1"/>
    </xf>
    <xf numFmtId="3" fontId="0" fillId="34" borderId="10" xfId="0" applyNumberFormat="1" applyFont="1" applyFill="1" applyBorder="1" applyAlignment="1" applyProtection="1">
      <alignment horizontal="left" vertical="top" wrapText="1"/>
      <protection/>
    </xf>
    <xf numFmtId="3" fontId="0" fillId="34" borderId="0" xfId="0" applyNumberFormat="1" applyFont="1" applyFill="1" applyBorder="1" applyAlignment="1" applyProtection="1">
      <alignment horizontal="left" wrapText="1"/>
      <protection/>
    </xf>
    <xf numFmtId="3" fontId="0" fillId="3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4" borderId="0" xfId="0" applyNumberFormat="1" applyFont="1" applyFill="1" applyBorder="1" applyAlignment="1" applyProtection="1">
      <alignment horizontal="left"/>
      <protection locked="0"/>
    </xf>
    <xf numFmtId="0" fontId="0" fillId="35" borderId="0" xfId="0" applyNumberFormat="1" applyFont="1" applyFill="1" applyAlignment="1" applyProtection="1">
      <alignment horizontal="left"/>
      <protection/>
    </xf>
    <xf numFmtId="171" fontId="9" fillId="33" borderId="31" xfId="45" applyNumberFormat="1" applyFont="1" applyFill="1" applyBorder="1" applyAlignment="1" applyProtection="1">
      <alignment horizontal="right"/>
      <protection/>
    </xf>
    <xf numFmtId="0" fontId="0" fillId="0" borderId="32" xfId="0" applyBorder="1" applyAlignment="1">
      <alignment horizontal="right"/>
    </xf>
    <xf numFmtId="4" fontId="9" fillId="35" borderId="19" xfId="0" applyNumberFormat="1" applyFont="1" applyFill="1" applyBorder="1" applyAlignment="1" applyProtection="1">
      <alignment horizontal="right"/>
      <protection/>
    </xf>
    <xf numFmtId="3" fontId="9" fillId="40" borderId="18" xfId="0" applyNumberFormat="1" applyFont="1" applyFill="1" applyBorder="1" applyAlignment="1" applyProtection="1">
      <alignment horizontal="center" vertical="center" wrapText="1"/>
      <protection/>
    </xf>
    <xf numFmtId="3" fontId="9" fillId="40" borderId="27" xfId="0" applyNumberFormat="1" applyFont="1" applyFill="1" applyBorder="1" applyAlignment="1" applyProtection="1">
      <alignment horizontal="center" vertical="center" wrapText="1"/>
      <protection/>
    </xf>
    <xf numFmtId="3" fontId="9" fillId="40" borderId="33" xfId="0" applyNumberFormat="1" applyFont="1" applyFill="1" applyBorder="1" applyAlignment="1" applyProtection="1">
      <alignment horizontal="center" vertical="center" wrapText="1"/>
      <protection/>
    </xf>
    <xf numFmtId="0" fontId="9" fillId="0" borderId="19" xfId="0" applyFont="1" applyFill="1" applyBorder="1" applyAlignment="1" applyProtection="1">
      <alignment horizontal="left" vertical="top" wrapText="1"/>
      <protection locked="0"/>
    </xf>
    <xf numFmtId="0" fontId="8" fillId="35" borderId="25"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9" fillId="40" borderId="18" xfId="0" applyNumberFormat="1" applyFont="1" applyFill="1" applyBorder="1" applyAlignment="1" applyProtection="1">
      <alignment horizontal="center" vertical="center" wrapText="1"/>
      <protection/>
    </xf>
    <xf numFmtId="0" fontId="9" fillId="40" borderId="27" xfId="0" applyNumberFormat="1" applyFont="1" applyFill="1" applyBorder="1" applyAlignment="1" applyProtection="1">
      <alignment horizontal="center" vertical="center" wrapText="1"/>
      <protection/>
    </xf>
    <xf numFmtId="0" fontId="9" fillId="40" borderId="33" xfId="0" applyNumberFormat="1" applyFont="1" applyFill="1" applyBorder="1" applyAlignment="1" applyProtection="1">
      <alignment horizontal="center" vertical="center" wrapText="1"/>
      <protection/>
    </xf>
    <xf numFmtId="3" fontId="8" fillId="40" borderId="25" xfId="0" applyNumberFormat="1" applyFont="1" applyFill="1" applyBorder="1" applyAlignment="1" applyProtection="1">
      <alignment horizontal="left" vertical="center"/>
      <protection/>
    </xf>
    <xf numFmtId="3" fontId="8" fillId="40" borderId="20" xfId="0" applyNumberFormat="1" applyFont="1" applyFill="1" applyBorder="1" applyAlignment="1" applyProtection="1">
      <alignment horizontal="left" vertical="center"/>
      <protection/>
    </xf>
    <xf numFmtId="3" fontId="8" fillId="40" borderId="21" xfId="0" applyNumberFormat="1" applyFont="1" applyFill="1" applyBorder="1" applyAlignment="1" applyProtection="1">
      <alignment horizontal="left" vertical="center"/>
      <protection/>
    </xf>
    <xf numFmtId="3" fontId="8" fillId="40" borderId="26" xfId="0" applyNumberFormat="1" applyFont="1" applyFill="1" applyBorder="1" applyAlignment="1" applyProtection="1">
      <alignment horizontal="left" vertical="center"/>
      <protection/>
    </xf>
    <xf numFmtId="3" fontId="8" fillId="40" borderId="0" xfId="0" applyNumberFormat="1" applyFont="1" applyFill="1" applyBorder="1" applyAlignment="1" applyProtection="1">
      <alignment horizontal="left" vertical="center"/>
      <protection/>
    </xf>
    <xf numFmtId="3" fontId="8" fillId="40" borderId="22" xfId="0" applyNumberFormat="1" applyFont="1" applyFill="1" applyBorder="1" applyAlignment="1" applyProtection="1">
      <alignment horizontal="left" vertical="center"/>
      <protection/>
    </xf>
    <xf numFmtId="3" fontId="8" fillId="40" borderId="34" xfId="0" applyNumberFormat="1" applyFont="1" applyFill="1" applyBorder="1" applyAlignment="1" applyProtection="1">
      <alignment horizontal="left" vertical="center"/>
      <protection/>
    </xf>
    <xf numFmtId="3" fontId="8" fillId="40" borderId="23" xfId="0" applyNumberFormat="1" applyFont="1" applyFill="1" applyBorder="1" applyAlignment="1" applyProtection="1">
      <alignment horizontal="left" vertical="center"/>
      <protection/>
    </xf>
    <xf numFmtId="3" fontId="8" fillId="40" borderId="24" xfId="0" applyNumberFormat="1" applyFont="1" applyFill="1" applyBorder="1" applyAlignment="1" applyProtection="1">
      <alignment horizontal="left" vertical="center"/>
      <protection/>
    </xf>
    <xf numFmtId="171" fontId="9" fillId="33" borderId="19" xfId="45" applyNumberFormat="1" applyFont="1" applyFill="1" applyBorder="1" applyAlignment="1" applyProtection="1">
      <alignment horizontal="center"/>
      <protection/>
    </xf>
    <xf numFmtId="10" fontId="9" fillId="33" borderId="31" xfId="45" applyNumberFormat="1" applyFont="1" applyFill="1" applyBorder="1" applyAlignment="1" applyProtection="1">
      <alignment horizontal="center"/>
      <protection/>
    </xf>
    <xf numFmtId="10" fontId="9" fillId="33" borderId="32" xfId="45" applyNumberFormat="1" applyFont="1" applyFill="1" applyBorder="1" applyAlignment="1" applyProtection="1">
      <alignment horizontal="center"/>
      <protection/>
    </xf>
    <xf numFmtId="0" fontId="8" fillId="42" borderId="31" xfId="0" applyFont="1" applyFill="1" applyBorder="1" applyAlignment="1" applyProtection="1">
      <alignment horizontal="left" vertical="top" wrapText="1"/>
      <protection/>
    </xf>
    <xf numFmtId="0" fontId="8" fillId="42" borderId="35" xfId="0" applyFont="1" applyFill="1" applyBorder="1" applyAlignment="1" applyProtection="1">
      <alignment horizontal="left" vertical="top" wrapText="1"/>
      <protection/>
    </xf>
    <xf numFmtId="0" fontId="8" fillId="42" borderId="32" xfId="0" applyFont="1" applyFill="1" applyBorder="1" applyAlignment="1" applyProtection="1">
      <alignment horizontal="left" vertical="top" wrapText="1"/>
      <protection/>
    </xf>
    <xf numFmtId="0" fontId="8" fillId="42" borderId="31" xfId="0" applyFont="1" applyFill="1" applyBorder="1" applyAlignment="1" applyProtection="1">
      <alignment horizontal="center" vertical="top" wrapText="1"/>
      <protection/>
    </xf>
    <xf numFmtId="0" fontId="8" fillId="42" borderId="35" xfId="0" applyFont="1" applyFill="1" applyBorder="1" applyAlignment="1" applyProtection="1">
      <alignment horizontal="center" vertical="top" wrapText="1"/>
      <protection/>
    </xf>
    <xf numFmtId="0" fontId="8" fillId="42" borderId="32" xfId="0" applyFont="1" applyFill="1" applyBorder="1" applyAlignment="1" applyProtection="1">
      <alignment horizontal="center" vertical="top" wrapText="1"/>
      <protection/>
    </xf>
    <xf numFmtId="0" fontId="8" fillId="42" borderId="19" xfId="0" applyFont="1" applyFill="1" applyBorder="1" applyAlignment="1" applyProtection="1">
      <alignment horizontal="left" vertical="top" wrapText="1" indent="1"/>
      <protection/>
    </xf>
    <xf numFmtId="0" fontId="9" fillId="35" borderId="19" xfId="0" applyFont="1" applyFill="1" applyBorder="1" applyAlignment="1" applyProtection="1">
      <alignment horizontal="left" vertical="top" wrapText="1"/>
      <protection/>
    </xf>
    <xf numFmtId="0" fontId="9" fillId="35" borderId="31" xfId="0" applyFont="1" applyFill="1" applyBorder="1" applyAlignment="1" applyProtection="1">
      <alignment horizontal="left" vertical="top" wrapText="1"/>
      <protection/>
    </xf>
    <xf numFmtId="0" fontId="0" fillId="0" borderId="35" xfId="0" applyBorder="1" applyAlignment="1">
      <alignment horizontal="left" vertical="top" wrapText="1"/>
    </xf>
    <xf numFmtId="0" fontId="0" fillId="0" borderId="32" xfId="0" applyBorder="1" applyAlignment="1">
      <alignment horizontal="left" vertical="top" wrapText="1"/>
    </xf>
    <xf numFmtId="0" fontId="9" fillId="43" borderId="31" xfId="0" applyFont="1" applyFill="1" applyBorder="1" applyAlignment="1" applyProtection="1">
      <alignment vertical="top" wrapText="1"/>
      <protection/>
    </xf>
    <xf numFmtId="0" fontId="9" fillId="43" borderId="35" xfId="0" applyFont="1" applyFill="1" applyBorder="1" applyAlignment="1" applyProtection="1">
      <alignment vertical="top" wrapText="1"/>
      <protection/>
    </xf>
    <xf numFmtId="0" fontId="9" fillId="43" borderId="32" xfId="0" applyFont="1" applyFill="1" applyBorder="1" applyAlignment="1" applyProtection="1">
      <alignment vertical="top" wrapText="1"/>
      <protection/>
    </xf>
    <xf numFmtId="0" fontId="2" fillId="33" borderId="0" xfId="0" applyFont="1" applyFill="1" applyAlignment="1">
      <alignment horizontal="left"/>
    </xf>
    <xf numFmtId="0" fontId="2"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3" borderId="36" xfId="0" applyFill="1" applyBorder="1" applyAlignment="1" applyProtection="1">
      <alignment horizontal="center" vertical="top" wrapText="1"/>
      <protection/>
    </xf>
    <xf numFmtId="0" fontId="0" fillId="33" borderId="37" xfId="0" applyFill="1" applyBorder="1" applyAlignment="1" applyProtection="1">
      <alignment horizontal="center" vertical="top" wrapText="1"/>
      <protection/>
    </xf>
    <xf numFmtId="0" fontId="0" fillId="33" borderId="38" xfId="0"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33" borderId="39" xfId="0" applyFill="1" applyBorder="1" applyAlignment="1" applyProtection="1">
      <alignment vertical="top" wrapText="1"/>
      <protection/>
    </xf>
    <xf numFmtId="0" fontId="0" fillId="33" borderId="40" xfId="0" applyFill="1" applyBorder="1" applyAlignment="1" applyProtection="1">
      <alignment vertical="top" wrapText="1"/>
      <protection/>
    </xf>
    <xf numFmtId="0" fontId="0" fillId="33" borderId="41" xfId="0" applyFill="1" applyBorder="1" applyAlignment="1" applyProtection="1">
      <alignment vertical="top" wrapText="1"/>
      <protection/>
    </xf>
    <xf numFmtId="0" fontId="0" fillId="33" borderId="42"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43"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16"/>
  <sheetViews>
    <sheetView showGridLines="0" view="pageBreakPreview" zoomScale="60" zoomScalePageLayoutView="0" workbookViewId="0" topLeftCell="A1">
      <selection activeCell="E29" sqref="E29"/>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1" t="s">
        <v>57</v>
      </c>
    </row>
    <row r="2" ht="13.5" thickBot="1"/>
    <row r="3" spans="2:12" s="281" customFormat="1" ht="75.75" customHeight="1" thickBot="1" thickTop="1">
      <c r="B3" s="282"/>
      <c r="C3" s="315" t="s">
        <v>237</v>
      </c>
      <c r="D3" s="315"/>
      <c r="E3" s="315"/>
      <c r="F3" s="315"/>
      <c r="G3" s="315"/>
      <c r="H3" s="315"/>
      <c r="I3" s="315"/>
      <c r="J3" s="315"/>
      <c r="K3" s="315"/>
      <c r="L3" s="283"/>
    </row>
    <row r="4" ht="13.5" thickTop="1"/>
    <row r="5" ht="13.5" thickBot="1"/>
    <row r="6" spans="2:12" s="14" customFormat="1" ht="13.5" thickTop="1">
      <c r="B6" s="112"/>
      <c r="C6" s="113"/>
      <c r="D6" s="113"/>
      <c r="E6" s="113"/>
      <c r="F6" s="114"/>
      <c r="G6" s="113"/>
      <c r="H6" s="113"/>
      <c r="I6" s="113"/>
      <c r="J6" s="113"/>
      <c r="K6" s="113"/>
      <c r="L6" s="115"/>
    </row>
    <row r="7" spans="2:12" s="15" customFormat="1" ht="27" customHeight="1">
      <c r="B7" s="116"/>
      <c r="C7" s="317" t="s">
        <v>60</v>
      </c>
      <c r="D7" s="317"/>
      <c r="E7" s="317"/>
      <c r="F7" s="317"/>
      <c r="G7" s="317"/>
      <c r="H7" s="317"/>
      <c r="I7" s="317"/>
      <c r="J7" s="317"/>
      <c r="K7" s="317"/>
      <c r="L7" s="117"/>
    </row>
    <row r="8" spans="2:12" s="15" customFormat="1" ht="12.75" customHeight="1">
      <c r="B8" s="116"/>
      <c r="C8" s="51"/>
      <c r="D8" s="51"/>
      <c r="E8" s="51"/>
      <c r="F8" s="51"/>
      <c r="G8" s="51"/>
      <c r="H8" s="51"/>
      <c r="I8" s="51"/>
      <c r="J8" s="51"/>
      <c r="K8" s="51"/>
      <c r="L8" s="117"/>
    </row>
    <row r="9" spans="2:12" s="52" customFormat="1" ht="12.75">
      <c r="B9" s="118"/>
      <c r="C9" s="318" t="s">
        <v>188</v>
      </c>
      <c r="D9" s="318"/>
      <c r="E9" s="318"/>
      <c r="F9" s="318"/>
      <c r="G9" s="318"/>
      <c r="H9" s="318"/>
      <c r="I9" s="318"/>
      <c r="J9" s="318"/>
      <c r="K9" s="318"/>
      <c r="L9" s="119"/>
    </row>
    <row r="10" spans="2:12" s="14" customFormat="1" ht="12.75">
      <c r="B10" s="120"/>
      <c r="C10" s="12"/>
      <c r="D10" s="12"/>
      <c r="E10" s="12"/>
      <c r="F10" s="13"/>
      <c r="G10" s="12"/>
      <c r="H10" s="12"/>
      <c r="I10" s="12"/>
      <c r="J10" s="12"/>
      <c r="K10" s="12"/>
      <c r="L10" s="121"/>
    </row>
    <row r="11" spans="2:12" s="14" customFormat="1" ht="52.5" customHeight="1">
      <c r="B11" s="120"/>
      <c r="C11" s="317" t="s">
        <v>59</v>
      </c>
      <c r="D11" s="317"/>
      <c r="E11" s="317"/>
      <c r="F11" s="317"/>
      <c r="G11" s="317"/>
      <c r="H11" s="317"/>
      <c r="I11" s="317"/>
      <c r="J11" s="317"/>
      <c r="K11" s="317"/>
      <c r="L11" s="121"/>
    </row>
    <row r="12" spans="2:12" s="14" customFormat="1" ht="12.75">
      <c r="B12" s="120"/>
      <c r="C12" s="12"/>
      <c r="D12" s="12"/>
      <c r="E12" s="12"/>
      <c r="F12" s="13"/>
      <c r="G12" s="12"/>
      <c r="H12" s="12"/>
      <c r="I12" s="12"/>
      <c r="J12" s="12"/>
      <c r="K12" s="12"/>
      <c r="L12" s="121"/>
    </row>
    <row r="13" spans="2:12" s="14" customFormat="1" ht="65.25" customHeight="1">
      <c r="B13" s="120"/>
      <c r="C13" s="317" t="s">
        <v>89</v>
      </c>
      <c r="D13" s="317"/>
      <c r="E13" s="317"/>
      <c r="F13" s="317"/>
      <c r="G13" s="317"/>
      <c r="H13" s="317"/>
      <c r="I13" s="317"/>
      <c r="J13" s="317"/>
      <c r="K13" s="317"/>
      <c r="L13" s="121"/>
    </row>
    <row r="14" spans="2:12" s="14" customFormat="1" ht="12.75">
      <c r="B14" s="120"/>
      <c r="C14" s="51"/>
      <c r="D14" s="51"/>
      <c r="E14" s="51"/>
      <c r="F14" s="51"/>
      <c r="G14" s="51"/>
      <c r="H14" s="51"/>
      <c r="I14" s="51"/>
      <c r="J14" s="51"/>
      <c r="K14" s="51"/>
      <c r="L14" s="121"/>
    </row>
    <row r="15" spans="2:12" s="14" customFormat="1" ht="39" customHeight="1">
      <c r="B15" s="120"/>
      <c r="C15" s="317" t="s">
        <v>107</v>
      </c>
      <c r="D15" s="317"/>
      <c r="E15" s="317"/>
      <c r="F15" s="317"/>
      <c r="G15" s="317"/>
      <c r="H15" s="317"/>
      <c r="I15" s="317"/>
      <c r="J15" s="317"/>
      <c r="K15" s="317"/>
      <c r="L15" s="121"/>
    </row>
    <row r="16" spans="2:12" s="16" customFormat="1" ht="13.5" thickBot="1">
      <c r="B16" s="122"/>
      <c r="C16" s="316"/>
      <c r="D16" s="316"/>
      <c r="E16" s="316"/>
      <c r="F16" s="316"/>
      <c r="G16" s="316"/>
      <c r="H16" s="316"/>
      <c r="I16" s="316"/>
      <c r="J16" s="316"/>
      <c r="K16" s="316"/>
      <c r="L16" s="123"/>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view="pageBreakPreview" zoomScale="60" zoomScaleNormal="85" zoomScalePageLayoutView="0" workbookViewId="0" topLeftCell="A1">
      <selection activeCell="E17" sqref="E17"/>
    </sheetView>
  </sheetViews>
  <sheetFormatPr defaultColWidth="9.00390625" defaultRowHeight="12.75"/>
  <cols>
    <col min="1" max="1" width="41.125" style="77" customWidth="1"/>
    <col min="2" max="16384" width="9.125" style="77" customWidth="1"/>
  </cols>
  <sheetData>
    <row r="1" spans="1:36" s="7" customFormat="1"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238</v>
      </c>
      <c r="B3" s="292">
        <v>320</v>
      </c>
      <c r="C3" s="292">
        <v>320</v>
      </c>
      <c r="D3" s="292">
        <v>320</v>
      </c>
      <c r="E3" s="292">
        <v>320</v>
      </c>
      <c r="F3" s="292">
        <v>320</v>
      </c>
      <c r="G3" s="292">
        <v>320</v>
      </c>
      <c r="H3" s="292">
        <v>320</v>
      </c>
      <c r="I3" s="292">
        <v>320</v>
      </c>
      <c r="J3" s="292">
        <v>320</v>
      </c>
      <c r="K3" s="292">
        <v>320</v>
      </c>
      <c r="L3" s="292">
        <v>320</v>
      </c>
      <c r="M3" s="292">
        <v>320</v>
      </c>
      <c r="N3" s="292">
        <v>320</v>
      </c>
      <c r="O3" s="292">
        <v>320</v>
      </c>
      <c r="P3" s="292">
        <v>320</v>
      </c>
      <c r="Q3" s="292">
        <v>320</v>
      </c>
      <c r="R3" s="292">
        <v>320</v>
      </c>
      <c r="S3" s="292">
        <v>320</v>
      </c>
      <c r="T3" s="292">
        <v>320</v>
      </c>
      <c r="U3" s="292">
        <v>320</v>
      </c>
      <c r="V3" s="292">
        <v>320</v>
      </c>
      <c r="W3" s="292">
        <v>320</v>
      </c>
      <c r="X3" s="292">
        <v>320</v>
      </c>
      <c r="Y3" s="292">
        <v>320</v>
      </c>
      <c r="Z3" s="292">
        <v>320</v>
      </c>
      <c r="AA3" s="292">
        <v>320</v>
      </c>
      <c r="AB3" s="292">
        <v>320</v>
      </c>
      <c r="AC3" s="292">
        <v>320</v>
      </c>
      <c r="AD3" s="292">
        <v>320</v>
      </c>
      <c r="AE3" s="292">
        <v>320</v>
      </c>
      <c r="AF3" s="292">
        <v>320</v>
      </c>
      <c r="AG3" s="292">
        <v>320</v>
      </c>
      <c r="AH3" s="292">
        <v>0</v>
      </c>
      <c r="AI3" s="292">
        <v>0</v>
      </c>
      <c r="AJ3" s="292">
        <v>0</v>
      </c>
    </row>
    <row r="4" spans="1:36" ht="12.75">
      <c r="A4" s="77" t="s">
        <v>67</v>
      </c>
      <c r="B4" s="293">
        <f>B3*B6</f>
        <v>905.6</v>
      </c>
      <c r="C4" s="293">
        <f aca="true" t="shared" si="1" ref="C4:AJ4">C3*C6</f>
        <v>905.6</v>
      </c>
      <c r="D4" s="293">
        <f t="shared" si="1"/>
        <v>905.6</v>
      </c>
      <c r="E4" s="293">
        <f t="shared" si="1"/>
        <v>905.6</v>
      </c>
      <c r="F4" s="293">
        <f t="shared" si="1"/>
        <v>905.6</v>
      </c>
      <c r="G4" s="293">
        <f t="shared" si="1"/>
        <v>905.6</v>
      </c>
      <c r="H4" s="293">
        <f t="shared" si="1"/>
        <v>905.6</v>
      </c>
      <c r="I4" s="293">
        <f t="shared" si="1"/>
        <v>905.6</v>
      </c>
      <c r="J4" s="293">
        <f t="shared" si="1"/>
        <v>905.6</v>
      </c>
      <c r="K4" s="293">
        <f t="shared" si="1"/>
        <v>905.6</v>
      </c>
      <c r="L4" s="293">
        <f t="shared" si="1"/>
        <v>905.6</v>
      </c>
      <c r="M4" s="293">
        <f t="shared" si="1"/>
        <v>905.6</v>
      </c>
      <c r="N4" s="293">
        <f t="shared" si="1"/>
        <v>905.6</v>
      </c>
      <c r="O4" s="293">
        <f t="shared" si="1"/>
        <v>905.6</v>
      </c>
      <c r="P4" s="293">
        <f t="shared" si="1"/>
        <v>905.6</v>
      </c>
      <c r="Q4" s="293">
        <f t="shared" si="1"/>
        <v>905.6</v>
      </c>
      <c r="R4" s="293">
        <f t="shared" si="1"/>
        <v>905.6</v>
      </c>
      <c r="S4" s="293">
        <f t="shared" si="1"/>
        <v>905.6</v>
      </c>
      <c r="T4" s="293">
        <f t="shared" si="1"/>
        <v>905.6</v>
      </c>
      <c r="U4" s="293">
        <f t="shared" si="1"/>
        <v>905.6</v>
      </c>
      <c r="V4" s="293">
        <f t="shared" si="1"/>
        <v>905.6</v>
      </c>
      <c r="W4" s="293">
        <f t="shared" si="1"/>
        <v>905.6</v>
      </c>
      <c r="X4" s="293">
        <f t="shared" si="1"/>
        <v>905.6</v>
      </c>
      <c r="Y4" s="293">
        <f t="shared" si="1"/>
        <v>905.6</v>
      </c>
      <c r="Z4" s="293">
        <f t="shared" si="1"/>
        <v>905.6</v>
      </c>
      <c r="AA4" s="293">
        <f t="shared" si="1"/>
        <v>905.6</v>
      </c>
      <c r="AB4" s="293">
        <f t="shared" si="1"/>
        <v>905.6</v>
      </c>
      <c r="AC4" s="293">
        <f t="shared" si="1"/>
        <v>905.6</v>
      </c>
      <c r="AD4" s="293">
        <f t="shared" si="1"/>
        <v>905.6</v>
      </c>
      <c r="AE4" s="293">
        <f t="shared" si="1"/>
        <v>905.6</v>
      </c>
      <c r="AF4" s="293">
        <f t="shared" si="1"/>
        <v>905.6</v>
      </c>
      <c r="AG4" s="293">
        <f t="shared" si="1"/>
        <v>905.6</v>
      </c>
      <c r="AH4" s="293">
        <f t="shared" si="1"/>
        <v>0</v>
      </c>
      <c r="AI4" s="293">
        <f t="shared" si="1"/>
        <v>0</v>
      </c>
      <c r="AJ4" s="293">
        <f t="shared" si="1"/>
        <v>0</v>
      </c>
    </row>
    <row r="5" ht="12.75"/>
    <row r="6" spans="1:36" ht="12.75">
      <c r="A6" s="77" t="s">
        <v>236</v>
      </c>
      <c r="B6" s="285">
        <v>2.83</v>
      </c>
      <c r="C6" s="285">
        <v>2.83</v>
      </c>
      <c r="D6" s="285">
        <v>2.83</v>
      </c>
      <c r="E6" s="285">
        <v>2.83</v>
      </c>
      <c r="F6" s="285">
        <v>2.83</v>
      </c>
      <c r="G6" s="285">
        <v>2.83</v>
      </c>
      <c r="H6" s="285">
        <v>2.83</v>
      </c>
      <c r="I6" s="285">
        <v>2.83</v>
      </c>
      <c r="J6" s="285">
        <v>2.83</v>
      </c>
      <c r="K6" s="285">
        <v>2.83</v>
      </c>
      <c r="L6" s="285">
        <v>2.83</v>
      </c>
      <c r="M6" s="285">
        <v>2.83</v>
      </c>
      <c r="N6" s="285">
        <v>2.83</v>
      </c>
      <c r="O6" s="285">
        <v>2.83</v>
      </c>
      <c r="P6" s="285">
        <v>2.83</v>
      </c>
      <c r="Q6" s="285">
        <v>2.83</v>
      </c>
      <c r="R6" s="285">
        <v>2.83</v>
      </c>
      <c r="S6" s="285">
        <v>2.83</v>
      </c>
      <c r="T6" s="285">
        <v>2.83</v>
      </c>
      <c r="U6" s="285">
        <v>2.83</v>
      </c>
      <c r="V6" s="285">
        <v>2.83</v>
      </c>
      <c r="W6" s="285">
        <v>2.83</v>
      </c>
      <c r="X6" s="285">
        <v>2.83</v>
      </c>
      <c r="Y6" s="285">
        <v>2.83</v>
      </c>
      <c r="Z6" s="285">
        <v>2.83</v>
      </c>
      <c r="AA6" s="285">
        <v>2.83</v>
      </c>
      <c r="AB6" s="285">
        <v>2.83</v>
      </c>
      <c r="AC6" s="285">
        <v>2.83</v>
      </c>
      <c r="AD6" s="285">
        <v>2.83</v>
      </c>
      <c r="AE6" s="285">
        <v>2.83</v>
      </c>
      <c r="AF6" s="285">
        <v>2.83</v>
      </c>
      <c r="AG6" s="285">
        <v>2.83</v>
      </c>
      <c r="AH6" s="285">
        <v>0</v>
      </c>
      <c r="AI6" s="285">
        <v>0</v>
      </c>
      <c r="AJ6" s="285">
        <v>0</v>
      </c>
    </row>
    <row r="7" spans="1:36" ht="12.75">
      <c r="A7" s="77" t="s">
        <v>239</v>
      </c>
      <c r="B7" s="284">
        <f>B6*'Príjmy z prevádzky'!D11</f>
        <v>91.93255</v>
      </c>
      <c r="C7" s="284">
        <f>C6*'Príjmy z prevádzky'!E11</f>
        <v>91.93255</v>
      </c>
      <c r="D7" s="284">
        <f>D6*'Príjmy z prevádzky'!F11</f>
        <v>91.93255</v>
      </c>
      <c r="E7" s="284">
        <f>E6*'Príjmy z prevádzky'!G11</f>
        <v>91.93255</v>
      </c>
      <c r="F7" s="284">
        <f>F6*'Príjmy z prevádzky'!H11</f>
        <v>91.93255</v>
      </c>
      <c r="G7" s="284">
        <f>G6*'Príjmy z prevádzky'!I11</f>
        <v>91.93255</v>
      </c>
      <c r="H7" s="284">
        <f>H6*'Príjmy z prevádzky'!J11</f>
        <v>91.93255</v>
      </c>
      <c r="I7" s="284">
        <f>I6*'Príjmy z prevádzky'!K11</f>
        <v>91.93255</v>
      </c>
      <c r="J7" s="284">
        <f>J6*'Príjmy z prevádzky'!L11</f>
        <v>91.93255</v>
      </c>
      <c r="K7" s="284">
        <f>K6*'Príjmy z prevádzky'!M11</f>
        <v>91.93255</v>
      </c>
      <c r="L7" s="284">
        <f>L6*'Príjmy z prevádzky'!N11</f>
        <v>91.93255</v>
      </c>
      <c r="M7" s="284">
        <f>M6*'Príjmy z prevádzky'!O11</f>
        <v>91.93255</v>
      </c>
      <c r="N7" s="284">
        <f>N6*'Príjmy z prevádzky'!P11</f>
        <v>91.93255</v>
      </c>
      <c r="O7" s="284">
        <f>O6*'Príjmy z prevádzky'!Q11</f>
        <v>91.93255</v>
      </c>
      <c r="P7" s="284">
        <f>P6*'Príjmy z prevádzky'!R11</f>
        <v>91.93255</v>
      </c>
      <c r="Q7" s="284">
        <f>Q6*'Príjmy z prevádzky'!S11</f>
        <v>91.93255</v>
      </c>
      <c r="R7" s="284">
        <f>R6*'Príjmy z prevádzky'!T11</f>
        <v>91.93255</v>
      </c>
      <c r="S7" s="284">
        <f>S6*'Príjmy z prevádzky'!U11</f>
        <v>91.93255</v>
      </c>
      <c r="T7" s="284">
        <f>T6*'Príjmy z prevádzky'!V11</f>
        <v>91.93255</v>
      </c>
      <c r="U7" s="284">
        <f>U6*'Príjmy z prevádzky'!W11</f>
        <v>91.93255</v>
      </c>
      <c r="V7" s="284">
        <f>V6*'Príjmy z prevádzky'!X11</f>
        <v>91.93255</v>
      </c>
      <c r="W7" s="284">
        <f>W6*'Príjmy z prevádzky'!Y11</f>
        <v>91.93255</v>
      </c>
      <c r="X7" s="284">
        <f>X6*'Príjmy z prevádzky'!Z11</f>
        <v>91.93255</v>
      </c>
      <c r="Y7" s="284">
        <f>Y6*'Príjmy z prevádzky'!AA11</f>
        <v>91.93255</v>
      </c>
      <c r="Z7" s="284">
        <f>Z6*'Príjmy z prevádzky'!AB11</f>
        <v>91.93255</v>
      </c>
      <c r="AA7" s="284">
        <f>AA6*'Príjmy z prevádzky'!AC11</f>
        <v>91.93255</v>
      </c>
      <c r="AB7" s="284">
        <f>AB6*'Príjmy z prevádzky'!AD11</f>
        <v>91.93255</v>
      </c>
      <c r="AC7" s="284">
        <f>AC6*'Príjmy z prevádzky'!AE11</f>
        <v>91.93255</v>
      </c>
      <c r="AD7" s="284">
        <f>AD6*'Príjmy z prevádzky'!AF11</f>
        <v>91.93255</v>
      </c>
      <c r="AE7" s="284">
        <f>AE6*'Príjmy z prevádzky'!AG11</f>
        <v>91.93255</v>
      </c>
      <c r="AF7" s="284">
        <f>AF6*'Príjmy z prevádzky'!AH11</f>
        <v>91.93255</v>
      </c>
      <c r="AG7" s="284">
        <f>AG6*'Príjmy z prevádzky'!AI11</f>
        <v>91.93255</v>
      </c>
      <c r="AH7" s="284">
        <f>AH6*'Príjmy z prevádzky'!AJ11</f>
        <v>0</v>
      </c>
      <c r="AI7" s="284">
        <f>AI6*'Príjmy z prevádzky'!AK11</f>
        <v>0</v>
      </c>
      <c r="AJ7" s="284">
        <f>AJ6*'Príjmy z prevádzky'!AL11</f>
        <v>0</v>
      </c>
    </row>
    <row r="8" spans="1:36" ht="12.75">
      <c r="A8" s="77" t="s">
        <v>68</v>
      </c>
      <c r="B8" s="287">
        <f>B7*'Príjmy z prevádzky'!D14/12*1.19</f>
        <v>0</v>
      </c>
      <c r="C8" s="287">
        <f>C7*'Príjmy z prevádzky'!E14/12*1.19</f>
        <v>0</v>
      </c>
      <c r="D8" s="287">
        <f>D7*'Príjmy z prevádzky'!F14/12*1.19</f>
        <v>10.440381329116667</v>
      </c>
      <c r="E8" s="287">
        <f>E7*'Príjmy z prevádzky'!G14/12*1.19</f>
        <v>10.440381329116667</v>
      </c>
      <c r="F8" s="287">
        <f>F7*'Príjmy z prevádzky'!H14/12*1.19</f>
        <v>10.440381329116667</v>
      </c>
      <c r="G8" s="287">
        <f>G7*'Príjmy z prevádzky'!I14/12*1.19</f>
        <v>10.440381329116667</v>
      </c>
      <c r="H8" s="287">
        <f>H7*'Príjmy z prevádzky'!J14/12*1.19</f>
        <v>10.440381329116667</v>
      </c>
      <c r="I8" s="287">
        <f>I7*'Príjmy z prevádzky'!K14/12*1.19</f>
        <v>10.440381329116667</v>
      </c>
      <c r="J8" s="287">
        <f>J7*'Príjmy z prevádzky'!L14/12*1.19</f>
        <v>10.440381329116667</v>
      </c>
      <c r="K8" s="287">
        <f>K7*'Príjmy z prevádzky'!M14/12*1.19</f>
        <v>10.440381329116667</v>
      </c>
      <c r="L8" s="287">
        <f>L7*'Príjmy z prevádzky'!N14/12*1.19</f>
        <v>10.440381329116667</v>
      </c>
      <c r="M8" s="287">
        <f>M7*'Príjmy z prevádzky'!O14/12*1.19</f>
        <v>10.440381329116667</v>
      </c>
      <c r="N8" s="287">
        <f>N7*'Príjmy z prevádzky'!P14/12*1.19</f>
        <v>10.440381329116667</v>
      </c>
      <c r="O8" s="287">
        <f>O7*'Príjmy z prevádzky'!Q14/12*1.19</f>
        <v>10.440381329116667</v>
      </c>
      <c r="P8" s="287">
        <f>P7*'Príjmy z prevádzky'!R14/12*1.19</f>
        <v>10.440381329116667</v>
      </c>
      <c r="Q8" s="287">
        <f>Q7*'Príjmy z prevádzky'!S14/12*1.19</f>
        <v>10.440381329116667</v>
      </c>
      <c r="R8" s="287">
        <f>R7*'Príjmy z prevádzky'!T14/12*1.19</f>
        <v>10.440381329116667</v>
      </c>
      <c r="S8" s="287">
        <f>S7*'Príjmy z prevádzky'!U14/12*1.19</f>
        <v>10.440381329116667</v>
      </c>
      <c r="T8" s="287">
        <f>T7*'Príjmy z prevádzky'!V14/12*1.19</f>
        <v>10.440381329116667</v>
      </c>
      <c r="U8" s="287">
        <f>U7*'Príjmy z prevádzky'!W14/12*1.19</f>
        <v>10.440381329116667</v>
      </c>
      <c r="V8" s="287">
        <f>V7*'Príjmy z prevádzky'!X14/12*1.19</f>
        <v>10.440381329116667</v>
      </c>
      <c r="W8" s="287">
        <f>W7*'Príjmy z prevádzky'!Y14/12*1.19</f>
        <v>10.440381329116667</v>
      </c>
      <c r="X8" s="287">
        <f>X7*'Príjmy z prevádzky'!Z14/12*1.19</f>
        <v>10.440381329116667</v>
      </c>
      <c r="Y8" s="287">
        <f>Y7*'Príjmy z prevádzky'!AA14/12*1.19</f>
        <v>10.440381329116667</v>
      </c>
      <c r="Z8" s="287">
        <f>Z7*'Príjmy z prevádzky'!AB14/12*1.19</f>
        <v>10.440381329116667</v>
      </c>
      <c r="AA8" s="287">
        <f>AA7*'Príjmy z prevádzky'!AC14/12*1.19</f>
        <v>10.440381329116667</v>
      </c>
      <c r="AB8" s="287">
        <f>AB7*'Príjmy z prevádzky'!AD14/12*1.19</f>
        <v>10.440381329116667</v>
      </c>
      <c r="AC8" s="287">
        <f>AC7*'Príjmy z prevádzky'!AE14/12*1.19</f>
        <v>10.440381329116667</v>
      </c>
      <c r="AD8" s="287">
        <f>AD7*'Príjmy z prevádzky'!AF14/12*1.19</f>
        <v>10.440381329116667</v>
      </c>
      <c r="AE8" s="287">
        <f>AE7*'Príjmy z prevádzky'!AG14/12*1.19</f>
        <v>10.440381329116667</v>
      </c>
      <c r="AF8" s="287">
        <f>AF7*'Príjmy z prevádzky'!AH14/12*1.19</f>
        <v>10.440381329116667</v>
      </c>
      <c r="AG8" s="287">
        <f>AG7*'Príjmy z prevádzky'!AI14/12*1.19</f>
        <v>10.440381329116667</v>
      </c>
      <c r="AH8" s="287">
        <f>AH7*'Príjmy z prevádzky'!AJ14/12*1.19</f>
        <v>0</v>
      </c>
      <c r="AI8" s="287">
        <f>AI7*'Príjmy z prevádzky'!AK14/12*1.19</f>
        <v>0</v>
      </c>
      <c r="AJ8" s="287">
        <f>AJ7*'Príjmy z prevádzky'!AL14/12*1.19</f>
        <v>0</v>
      </c>
    </row>
    <row r="9" ht="12.75"/>
    <row r="10" spans="1:36" ht="12.75">
      <c r="A10" s="77" t="s">
        <v>69</v>
      </c>
      <c r="B10" s="286">
        <f>B8/B4</f>
        <v>0</v>
      </c>
      <c r="C10" s="286">
        <f aca="true" t="shared" si="2" ref="C10:AJ10">C8/C4</f>
        <v>0</v>
      </c>
      <c r="D10" s="286">
        <f t="shared" si="2"/>
        <v>0.011528689630208333</v>
      </c>
      <c r="E10" s="286">
        <f t="shared" si="2"/>
        <v>0.011528689630208333</v>
      </c>
      <c r="F10" s="286">
        <f t="shared" si="2"/>
        <v>0.011528689630208333</v>
      </c>
      <c r="G10" s="286">
        <f t="shared" si="2"/>
        <v>0.011528689630208333</v>
      </c>
      <c r="H10" s="286">
        <f t="shared" si="2"/>
        <v>0.011528689630208333</v>
      </c>
      <c r="I10" s="286">
        <f t="shared" si="2"/>
        <v>0.011528689630208333</v>
      </c>
      <c r="J10" s="286">
        <f t="shared" si="2"/>
        <v>0.011528689630208333</v>
      </c>
      <c r="K10" s="286">
        <f t="shared" si="2"/>
        <v>0.011528689630208333</v>
      </c>
      <c r="L10" s="286">
        <f t="shared" si="2"/>
        <v>0.011528689630208333</v>
      </c>
      <c r="M10" s="286">
        <f t="shared" si="2"/>
        <v>0.011528689630208333</v>
      </c>
      <c r="N10" s="286">
        <f t="shared" si="2"/>
        <v>0.011528689630208333</v>
      </c>
      <c r="O10" s="286">
        <f t="shared" si="2"/>
        <v>0.011528689630208333</v>
      </c>
      <c r="P10" s="286">
        <f t="shared" si="2"/>
        <v>0.011528689630208333</v>
      </c>
      <c r="Q10" s="286">
        <f t="shared" si="2"/>
        <v>0.011528689630208333</v>
      </c>
      <c r="R10" s="286">
        <f t="shared" si="2"/>
        <v>0.011528689630208333</v>
      </c>
      <c r="S10" s="286">
        <f t="shared" si="2"/>
        <v>0.011528689630208333</v>
      </c>
      <c r="T10" s="286">
        <f t="shared" si="2"/>
        <v>0.011528689630208333</v>
      </c>
      <c r="U10" s="286">
        <f t="shared" si="2"/>
        <v>0.011528689630208333</v>
      </c>
      <c r="V10" s="286">
        <f t="shared" si="2"/>
        <v>0.011528689630208333</v>
      </c>
      <c r="W10" s="286">
        <f t="shared" si="2"/>
        <v>0.011528689630208333</v>
      </c>
      <c r="X10" s="286">
        <f t="shared" si="2"/>
        <v>0.011528689630208333</v>
      </c>
      <c r="Y10" s="286">
        <f t="shared" si="2"/>
        <v>0.011528689630208333</v>
      </c>
      <c r="Z10" s="286">
        <f t="shared" si="2"/>
        <v>0.011528689630208333</v>
      </c>
      <c r="AA10" s="286">
        <f t="shared" si="2"/>
        <v>0.011528689630208333</v>
      </c>
      <c r="AB10" s="286">
        <f t="shared" si="2"/>
        <v>0.011528689630208333</v>
      </c>
      <c r="AC10" s="286">
        <f t="shared" si="2"/>
        <v>0.011528689630208333</v>
      </c>
      <c r="AD10" s="286">
        <f t="shared" si="2"/>
        <v>0.011528689630208333</v>
      </c>
      <c r="AE10" s="286">
        <f t="shared" si="2"/>
        <v>0.011528689630208333</v>
      </c>
      <c r="AF10" s="286">
        <f t="shared" si="2"/>
        <v>0.011528689630208333</v>
      </c>
      <c r="AG10" s="286">
        <f t="shared" si="2"/>
        <v>0.011528689630208333</v>
      </c>
      <c r="AH10" s="286" t="e">
        <f t="shared" si="2"/>
        <v>#DIV/0!</v>
      </c>
      <c r="AI10" s="286" t="e">
        <f t="shared" si="2"/>
        <v>#DIV/0!</v>
      </c>
      <c r="AJ10" s="286" t="e">
        <f t="shared" si="2"/>
        <v>#DIV/0!</v>
      </c>
    </row>
    <row r="11" ht="12.75"/>
    <row r="12" ht="12.75"/>
    <row r="13" ht="12.75"/>
  </sheetData>
  <sheetProtection/>
  <printOptions/>
  <pageMargins left="0.7" right="0.7" top="0.787401575" bottom="0.787401575" header="0.3" footer="0.3"/>
  <pageSetup horizontalDpi="600" verticalDpi="600" orientation="landscape" paperSize="9" scale="70" r:id="rId3"/>
  <colBreaks count="1" manualBreakCount="1">
    <brk id="17" max="15" man="1"/>
  </colBreaks>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K55"/>
  <sheetViews>
    <sheetView showGridLines="0" tabSelected="1" view="pageBreakPreview" zoomScale="60" zoomScalePageLayoutView="0" workbookViewId="0" topLeftCell="A35">
      <selection activeCell="C57" sqref="C57"/>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3" customFormat="1" ht="12.75" hidden="1">
      <c r="B1" s="152" t="s">
        <v>143</v>
      </c>
    </row>
    <row r="2" s="153" customFormat="1" ht="12.75" hidden="1"/>
    <row r="3" spans="2:10" s="153" customFormat="1" ht="12.75" hidden="1">
      <c r="B3" s="154" t="s">
        <v>128</v>
      </c>
      <c r="C3" s="154" t="s">
        <v>134</v>
      </c>
      <c r="J3" s="153" t="s">
        <v>136</v>
      </c>
    </row>
    <row r="4" spans="2:12" s="153" customFormat="1" ht="12.75" hidden="1">
      <c r="B4" s="155">
        <f>SUM('Peňažné toky projektu'!B42:AJ42)</f>
        <v>4979.09</v>
      </c>
      <c r="C4" s="154" t="b">
        <f>AND(B4&lt;&gt;0)</f>
        <v>1</v>
      </c>
      <c r="J4" s="154" t="b">
        <f>AND(COUNTIF(F20:AK20,"&lt;0")&lt;=0)</f>
        <v>1</v>
      </c>
      <c r="L4" s="153" t="s">
        <v>135</v>
      </c>
    </row>
    <row r="5" spans="2:3" s="153" customFormat="1" ht="12.75" hidden="1">
      <c r="B5" s="154"/>
      <c r="C5" s="154"/>
    </row>
    <row r="6" spans="2:10" s="153" customFormat="1" ht="12.75" hidden="1">
      <c r="B6" s="154" t="s">
        <v>116</v>
      </c>
      <c r="C6" s="154" t="s">
        <v>133</v>
      </c>
      <c r="J6" s="153" t="s">
        <v>138</v>
      </c>
    </row>
    <row r="7" spans="2:10" s="153" customFormat="1" ht="12.75" hidden="1">
      <c r="B7" s="155">
        <f>SUM(Úver!B8:AJ8)</f>
        <v>66400</v>
      </c>
      <c r="C7" s="154" t="b">
        <f>OR(B7&gt;0,B10&gt;0)</f>
        <v>1</v>
      </c>
      <c r="J7" s="154" t="b">
        <f>AND(COUNTIF(C24:AK24,"&lt;0")&lt;=0)</f>
        <v>0</v>
      </c>
    </row>
    <row r="8" spans="2:3" s="153" customFormat="1" ht="12.75" hidden="1">
      <c r="B8" s="154"/>
      <c r="C8" s="154"/>
    </row>
    <row r="9" spans="2:3" s="153" customFormat="1" ht="12.75" hidden="1">
      <c r="B9" s="154" t="s">
        <v>129</v>
      </c>
      <c r="C9" s="154" t="s">
        <v>132</v>
      </c>
    </row>
    <row r="10" spans="2:3" s="153" customFormat="1" ht="12.75" hidden="1">
      <c r="B10" s="155">
        <f>SUM(Úver!B11:AJ11)</f>
        <v>66400</v>
      </c>
      <c r="C10" s="154" t="b">
        <f>AND(B7=B10)</f>
        <v>1</v>
      </c>
    </row>
    <row r="11" spans="2:3" s="153" customFormat="1" ht="12.75" hidden="1">
      <c r="B11" s="154"/>
      <c r="C11" s="154"/>
    </row>
    <row r="12" spans="2:6" s="153" customFormat="1" ht="12.75" hidden="1">
      <c r="B12" s="156" t="s">
        <v>130</v>
      </c>
      <c r="C12" s="156" t="s">
        <v>240</v>
      </c>
      <c r="D12" s="156"/>
      <c r="E12" s="156"/>
      <c r="F12" s="156"/>
    </row>
    <row r="13" spans="2:6" s="153" customFormat="1" ht="12.75" hidden="1">
      <c r="B13" s="168">
        <f>CelkoveOpravneneVydavky-NFP</f>
        <v>243367.59064065805</v>
      </c>
      <c r="C13" s="156" t="b">
        <f>AND(B7&gt;=B13)</f>
        <v>0</v>
      </c>
      <c r="D13" s="157"/>
      <c r="E13" s="157"/>
      <c r="F13" s="157"/>
    </row>
    <row r="14" s="153" customFormat="1" ht="12.75" hidden="1"/>
    <row r="15" s="153" customFormat="1" ht="12.75" hidden="1"/>
    <row r="16" spans="2:37" s="153" customFormat="1" ht="12.75" hidden="1">
      <c r="B16" s="153" t="s">
        <v>137</v>
      </c>
      <c r="C16" s="158">
        <f>'Peňažné toky projektu'!$B$14</f>
        <v>2011</v>
      </c>
      <c r="D16" s="158">
        <f>C16+1</f>
        <v>2012</v>
      </c>
      <c r="E16" s="158">
        <f aca="true" t="shared" si="0" ref="E16:AK16">D16+1</f>
        <v>2013</v>
      </c>
      <c r="F16" s="158">
        <f t="shared" si="0"/>
        <v>2014</v>
      </c>
      <c r="G16" s="158">
        <f t="shared" si="0"/>
        <v>2015</v>
      </c>
      <c r="H16" s="158">
        <f t="shared" si="0"/>
        <v>2016</v>
      </c>
      <c r="I16" s="158">
        <f t="shared" si="0"/>
        <v>2017</v>
      </c>
      <c r="J16" s="158">
        <f t="shared" si="0"/>
        <v>2018</v>
      </c>
      <c r="K16" s="158">
        <f t="shared" si="0"/>
        <v>2019</v>
      </c>
      <c r="L16" s="158">
        <f t="shared" si="0"/>
        <v>2020</v>
      </c>
      <c r="M16" s="158">
        <f t="shared" si="0"/>
        <v>2021</v>
      </c>
      <c r="N16" s="158">
        <f t="shared" si="0"/>
        <v>2022</v>
      </c>
      <c r="O16" s="158">
        <f t="shared" si="0"/>
        <v>2023</v>
      </c>
      <c r="P16" s="158">
        <f t="shared" si="0"/>
        <v>2024</v>
      </c>
      <c r="Q16" s="158">
        <f t="shared" si="0"/>
        <v>2025</v>
      </c>
      <c r="R16" s="158">
        <f t="shared" si="0"/>
        <v>2026</v>
      </c>
      <c r="S16" s="158">
        <f t="shared" si="0"/>
        <v>2027</v>
      </c>
      <c r="T16" s="158">
        <f t="shared" si="0"/>
        <v>2028</v>
      </c>
      <c r="U16" s="158">
        <f t="shared" si="0"/>
        <v>2029</v>
      </c>
      <c r="V16" s="158">
        <f t="shared" si="0"/>
        <v>2030</v>
      </c>
      <c r="W16" s="158">
        <f t="shared" si="0"/>
        <v>2031</v>
      </c>
      <c r="X16" s="158">
        <f t="shared" si="0"/>
        <v>2032</v>
      </c>
      <c r="Y16" s="158">
        <f t="shared" si="0"/>
        <v>2033</v>
      </c>
      <c r="Z16" s="158">
        <f t="shared" si="0"/>
        <v>2034</v>
      </c>
      <c r="AA16" s="158">
        <f t="shared" si="0"/>
        <v>2035</v>
      </c>
      <c r="AB16" s="158">
        <f t="shared" si="0"/>
        <v>2036</v>
      </c>
      <c r="AC16" s="158">
        <f t="shared" si="0"/>
        <v>2037</v>
      </c>
      <c r="AD16" s="158">
        <f t="shared" si="0"/>
        <v>2038</v>
      </c>
      <c r="AE16" s="158">
        <f t="shared" si="0"/>
        <v>2039</v>
      </c>
      <c r="AF16" s="158">
        <f t="shared" si="0"/>
        <v>2040</v>
      </c>
      <c r="AG16" s="158">
        <f t="shared" si="0"/>
        <v>2041</v>
      </c>
      <c r="AH16" s="158">
        <f t="shared" si="0"/>
        <v>2042</v>
      </c>
      <c r="AI16" s="158">
        <f t="shared" si="0"/>
        <v>2043</v>
      </c>
      <c r="AJ16" s="158">
        <f t="shared" si="0"/>
        <v>2044</v>
      </c>
      <c r="AK16" s="158">
        <f t="shared" si="0"/>
        <v>2045</v>
      </c>
    </row>
    <row r="17" spans="2:37" s="153" customFormat="1" ht="12.75" hidden="1">
      <c r="B17" s="70" t="s">
        <v>91</v>
      </c>
      <c r="C17" s="94">
        <f>'Peňažné toky projektu'!B18</f>
        <v>0</v>
      </c>
      <c r="D17" s="94">
        <f>'Peňažné toky projektu'!C18</f>
        <v>0</v>
      </c>
      <c r="E17" s="94">
        <f>'Peňažné toky projektu'!D18</f>
        <v>15835.0432474584</v>
      </c>
      <c r="F17" s="94">
        <f>'Peňažné toky projektu'!E18</f>
        <v>30178.162386876134</v>
      </c>
      <c r="G17" s="94">
        <f>'Peňažné toky projektu'!F18</f>
        <v>31452.11935821867</v>
      </c>
      <c r="H17" s="94">
        <f>'Peňažné toky projektu'!G18</f>
        <v>32351.31383519613</v>
      </c>
      <c r="I17" s="94">
        <f>'Peňažné toky projektu'!H18</f>
        <v>32473.847890536912</v>
      </c>
      <c r="J17" s="94">
        <f>'Peňažné toky projektu'!I18</f>
        <v>32504.60393842745</v>
      </c>
      <c r="K17" s="94">
        <f>'Peňažné toky projektu'!J18</f>
        <v>32504.60393842745</v>
      </c>
      <c r="L17" s="94">
        <f>'Peňažné toky projektu'!K18</f>
        <v>32504.60393842745</v>
      </c>
      <c r="M17" s="94">
        <f>'Peňažné toky projektu'!L18</f>
        <v>32504.60393842745</v>
      </c>
      <c r="N17" s="94">
        <f>'Peňažné toky projektu'!M18</f>
        <v>32504.60393842745</v>
      </c>
      <c r="O17" s="94">
        <f>'Peňažné toky projektu'!N18</f>
        <v>32504.60393842745</v>
      </c>
      <c r="P17" s="94">
        <f>'Peňažné toky projektu'!O18</f>
        <v>32504.60393842745</v>
      </c>
      <c r="Q17" s="94">
        <f>'Peňažné toky projektu'!P18</f>
        <v>32504.60393842745</v>
      </c>
      <c r="R17" s="94">
        <f>'Peňažné toky projektu'!Q18</f>
        <v>32504.60393842745</v>
      </c>
      <c r="S17" s="94">
        <f>'Peňažné toky projektu'!R18</f>
        <v>32504.60393842745</v>
      </c>
      <c r="T17" s="94">
        <f>'Peňažné toky projektu'!S18</f>
        <v>32504.60393842745</v>
      </c>
      <c r="U17" s="94">
        <f>'Peňažné toky projektu'!T18</f>
        <v>32504.60393842745</v>
      </c>
      <c r="V17" s="94">
        <f>'Peňažné toky projektu'!U18</f>
        <v>32504.60393842745</v>
      </c>
      <c r="W17" s="94">
        <f>'Peňažné toky projektu'!V18</f>
        <v>32504.60393842745</v>
      </c>
      <c r="X17" s="94">
        <f>'Peňažné toky projektu'!W18</f>
        <v>32504.60393842745</v>
      </c>
      <c r="Y17" s="94">
        <f>'Peňažné toky projektu'!X18</f>
        <v>32504.60393842745</v>
      </c>
      <c r="Z17" s="94">
        <f>'Peňažné toky projektu'!Y18</f>
        <v>32504.60393842745</v>
      </c>
      <c r="AA17" s="94">
        <f>'Peňažné toky projektu'!Z18</f>
        <v>32504.60393842745</v>
      </c>
      <c r="AB17" s="94">
        <f>'Peňažné toky projektu'!AA18</f>
        <v>32504.60393842745</v>
      </c>
      <c r="AC17" s="94">
        <f>'Peňažné toky projektu'!AB18</f>
        <v>32504.60393842745</v>
      </c>
      <c r="AD17" s="94">
        <f>'Peňažné toky projektu'!AC18</f>
        <v>32504.60393842745</v>
      </c>
      <c r="AE17" s="94">
        <f>'Peňažné toky projektu'!AD18</f>
        <v>32504.60393842745</v>
      </c>
      <c r="AF17" s="94">
        <f>'Peňažné toky projektu'!AE18</f>
        <v>32504.60393842745</v>
      </c>
      <c r="AG17" s="94">
        <f>'Peňažné toky projektu'!AF18</f>
        <v>32504.60393842745</v>
      </c>
      <c r="AH17" s="94">
        <f>'Peňažné toky projektu'!AG18</f>
        <v>32504.60393842745</v>
      </c>
      <c r="AI17" s="94">
        <f>'Peňažné toky projektu'!AH18</f>
        <v>0</v>
      </c>
      <c r="AJ17" s="94">
        <f>'Peňažné toky projektu'!AI18</f>
        <v>0</v>
      </c>
      <c r="AK17" s="94">
        <f>'Peňažné toky projektu'!AJ18</f>
        <v>0</v>
      </c>
    </row>
    <row r="18" spans="2:37" s="153" customFormat="1" ht="12.75" hidden="1">
      <c r="B18" s="70" t="s">
        <v>92</v>
      </c>
      <c r="C18" s="94">
        <f>'Peňažné toky projektu'!B24</f>
        <v>0</v>
      </c>
      <c r="D18" s="94">
        <f>'Peňažné toky projektu'!C24</f>
        <v>0</v>
      </c>
      <c r="E18" s="94">
        <f>'Peňažné toky projektu'!D24</f>
        <v>16648.263739043825</v>
      </c>
      <c r="F18" s="94">
        <f>'Peňažné toky projektu'!E24</f>
        <v>18706.60018565598</v>
      </c>
      <c r="G18" s="94">
        <f>'Peňažné toky projektu'!F24</f>
        <v>18776.229482571354</v>
      </c>
      <c r="H18" s="94">
        <f>'Peňažné toky projektu'!G24</f>
        <v>18825.375788632336</v>
      </c>
      <c r="I18" s="94">
        <f>'Peňažné toky projektu'!H24</f>
        <v>18832.07300079373</v>
      </c>
      <c r="J18" s="94">
        <f>'Peňažné toky projektu'!I24</f>
        <v>18900.144001046243</v>
      </c>
      <c r="K18" s="94">
        <f>'Peňažné toky projektu'!J24</f>
        <v>18900.144001046243</v>
      </c>
      <c r="L18" s="94">
        <f>'Peňažné toky projektu'!K24</f>
        <v>18900.144001046243</v>
      </c>
      <c r="M18" s="94">
        <f>'Peňažné toky projektu'!L24</f>
        <v>18900.144001046243</v>
      </c>
      <c r="N18" s="94">
        <f>'Peňažné toky projektu'!M24</f>
        <v>18900.144001046243</v>
      </c>
      <c r="O18" s="94">
        <f>'Peňažné toky projektu'!N24</f>
        <v>18999.72400104624</v>
      </c>
      <c r="P18" s="94">
        <f>'Peňažné toky projektu'!O24</f>
        <v>18999.72400104624</v>
      </c>
      <c r="Q18" s="94">
        <f>'Peňažné toky projektu'!P24</f>
        <v>18999.72400104624</v>
      </c>
      <c r="R18" s="94">
        <f>'Peňažné toky projektu'!Q24</f>
        <v>18999.72400104624</v>
      </c>
      <c r="S18" s="94">
        <f>'Peňažné toky projektu'!R24</f>
        <v>18999.72400104624</v>
      </c>
      <c r="T18" s="94">
        <f>'Peňažné toky projektu'!S24</f>
        <v>18999.72400104624</v>
      </c>
      <c r="U18" s="94">
        <f>'Peňažné toky projektu'!T24</f>
        <v>18999.72400104624</v>
      </c>
      <c r="V18" s="94">
        <f>'Peňažné toky projektu'!U24</f>
        <v>18999.72400104624</v>
      </c>
      <c r="W18" s="94">
        <f>'Peňažné toky projektu'!V24</f>
        <v>18999.72400104624</v>
      </c>
      <c r="X18" s="94">
        <f>'Peňažné toky projektu'!W24</f>
        <v>18999.72400104624</v>
      </c>
      <c r="Y18" s="94">
        <f>'Peňažné toky projektu'!X24</f>
        <v>18999.72400104624</v>
      </c>
      <c r="Z18" s="94">
        <f>'Peňažné toky projektu'!Y24</f>
        <v>18999.72400104624</v>
      </c>
      <c r="AA18" s="94">
        <f>'Peňažné toky projektu'!Z24</f>
        <v>18999.72400104624</v>
      </c>
      <c r="AB18" s="94">
        <f>'Peňažné toky projektu'!AA24</f>
        <v>18999.72400104624</v>
      </c>
      <c r="AC18" s="94">
        <f>'Peňažné toky projektu'!AB24</f>
        <v>18999.72400104624</v>
      </c>
      <c r="AD18" s="94">
        <f>'Peňažné toky projektu'!AC24</f>
        <v>18999.72400104624</v>
      </c>
      <c r="AE18" s="94">
        <f>'Peňažné toky projektu'!AD24</f>
        <v>18999.72400104624</v>
      </c>
      <c r="AF18" s="94">
        <f>'Peňažné toky projektu'!AE24</f>
        <v>18999.72400104624</v>
      </c>
      <c r="AG18" s="94">
        <f>'Peňažné toky projektu'!AF24</f>
        <v>18999.72400104624</v>
      </c>
      <c r="AH18" s="94">
        <f>'Peňažné toky projektu'!AG24</f>
        <v>18999.72400104624</v>
      </c>
      <c r="AI18" s="94">
        <f>'Peňažné toky projektu'!AH24</f>
        <v>0</v>
      </c>
      <c r="AJ18" s="94">
        <f>'Peňažné toky projektu'!AI24</f>
        <v>0</v>
      </c>
      <c r="AK18" s="94">
        <f>'Peňažné toky projektu'!AJ24</f>
        <v>0</v>
      </c>
    </row>
    <row r="19" spans="2:37" s="153" customFormat="1" ht="12.75" hidden="1">
      <c r="B19" s="70"/>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s="153" customFormat="1" ht="12.75" hidden="1">
      <c r="B20" s="70" t="s">
        <v>131</v>
      </c>
      <c r="C20" s="151">
        <f>C17-C18</f>
        <v>0</v>
      </c>
      <c r="D20" s="151">
        <f aca="true" t="shared" si="1" ref="D20:AK20">D17-D18</f>
        <v>0</v>
      </c>
      <c r="E20" s="151">
        <f t="shared" si="1"/>
        <v>-813.2204915854254</v>
      </c>
      <c r="F20" s="151">
        <f t="shared" si="1"/>
        <v>11471.562201220153</v>
      </c>
      <c r="G20" s="151">
        <f t="shared" si="1"/>
        <v>12675.889875647317</v>
      </c>
      <c r="H20" s="151">
        <f t="shared" si="1"/>
        <v>13525.938046563795</v>
      </c>
      <c r="I20" s="151">
        <f t="shared" si="1"/>
        <v>13641.774889743181</v>
      </c>
      <c r="J20" s="151">
        <f t="shared" si="1"/>
        <v>13604.459937381209</v>
      </c>
      <c r="K20" s="151">
        <f t="shared" si="1"/>
        <v>13604.459937381209</v>
      </c>
      <c r="L20" s="151">
        <f t="shared" si="1"/>
        <v>13604.459937381209</v>
      </c>
      <c r="M20" s="151">
        <f t="shared" si="1"/>
        <v>13604.459937381209</v>
      </c>
      <c r="N20" s="151">
        <f t="shared" si="1"/>
        <v>13604.459937381209</v>
      </c>
      <c r="O20" s="151">
        <f t="shared" si="1"/>
        <v>13504.87993738121</v>
      </c>
      <c r="P20" s="151">
        <f t="shared" si="1"/>
        <v>13504.87993738121</v>
      </c>
      <c r="Q20" s="151">
        <f t="shared" si="1"/>
        <v>13504.87993738121</v>
      </c>
      <c r="R20" s="151">
        <f t="shared" si="1"/>
        <v>13504.87993738121</v>
      </c>
      <c r="S20" s="151">
        <f t="shared" si="1"/>
        <v>13504.87993738121</v>
      </c>
      <c r="T20" s="151">
        <f t="shared" si="1"/>
        <v>13504.87993738121</v>
      </c>
      <c r="U20" s="151">
        <f t="shared" si="1"/>
        <v>13504.87993738121</v>
      </c>
      <c r="V20" s="151">
        <f t="shared" si="1"/>
        <v>13504.87993738121</v>
      </c>
      <c r="W20" s="151">
        <f t="shared" si="1"/>
        <v>13504.87993738121</v>
      </c>
      <c r="X20" s="151">
        <f t="shared" si="1"/>
        <v>13504.87993738121</v>
      </c>
      <c r="Y20" s="151">
        <f t="shared" si="1"/>
        <v>13504.87993738121</v>
      </c>
      <c r="Z20" s="151">
        <f t="shared" si="1"/>
        <v>13504.87993738121</v>
      </c>
      <c r="AA20" s="151">
        <f t="shared" si="1"/>
        <v>13504.87993738121</v>
      </c>
      <c r="AB20" s="151">
        <f t="shared" si="1"/>
        <v>13504.87993738121</v>
      </c>
      <c r="AC20" s="151">
        <f t="shared" si="1"/>
        <v>13504.87993738121</v>
      </c>
      <c r="AD20" s="151">
        <f t="shared" si="1"/>
        <v>13504.87993738121</v>
      </c>
      <c r="AE20" s="151">
        <f t="shared" si="1"/>
        <v>13504.87993738121</v>
      </c>
      <c r="AF20" s="151">
        <f t="shared" si="1"/>
        <v>13504.87993738121</v>
      </c>
      <c r="AG20" s="151">
        <f t="shared" si="1"/>
        <v>13504.87993738121</v>
      </c>
      <c r="AH20" s="151">
        <f t="shared" si="1"/>
        <v>13504.87993738121</v>
      </c>
      <c r="AI20" s="151">
        <f t="shared" si="1"/>
        <v>0</v>
      </c>
      <c r="AJ20" s="151">
        <f t="shared" si="1"/>
        <v>0</v>
      </c>
      <c r="AK20" s="151">
        <f t="shared" si="1"/>
        <v>0</v>
      </c>
    </row>
    <row r="21" spans="2:37" s="153" customFormat="1" ht="12.75" hidden="1">
      <c r="B21" s="70" t="s">
        <v>7</v>
      </c>
      <c r="C21" s="70"/>
      <c r="D21" s="73" t="e">
        <f>D17/C17-1</f>
        <v>#DIV/0!</v>
      </c>
      <c r="E21" s="73" t="e">
        <f aca="true" t="shared" si="2" ref="E21:AK21">E17/D17-1</f>
        <v>#DIV/0!</v>
      </c>
      <c r="F21" s="73">
        <f t="shared" si="2"/>
        <v>0.9057833891119857</v>
      </c>
      <c r="G21" s="73">
        <f t="shared" si="2"/>
        <v>0.0422145309913422</v>
      </c>
      <c r="H21" s="73">
        <f t="shared" si="2"/>
        <v>0.028589312749841556</v>
      </c>
      <c r="I21" s="73">
        <f t="shared" si="2"/>
        <v>0.0037876067712425687</v>
      </c>
      <c r="J21" s="73">
        <f t="shared" si="2"/>
        <v>0.0009471020494464799</v>
      </c>
      <c r="K21" s="73">
        <f t="shared" si="2"/>
        <v>0</v>
      </c>
      <c r="L21" s="73">
        <f t="shared" si="2"/>
        <v>0</v>
      </c>
      <c r="M21" s="73">
        <f t="shared" si="2"/>
        <v>0</v>
      </c>
      <c r="N21" s="73">
        <f t="shared" si="2"/>
        <v>0</v>
      </c>
      <c r="O21" s="73">
        <f t="shared" si="2"/>
        <v>0</v>
      </c>
      <c r="P21" s="73">
        <f t="shared" si="2"/>
        <v>0</v>
      </c>
      <c r="Q21" s="73">
        <f t="shared" si="2"/>
        <v>0</v>
      </c>
      <c r="R21" s="73">
        <f t="shared" si="2"/>
        <v>0</v>
      </c>
      <c r="S21" s="73">
        <f t="shared" si="2"/>
        <v>0</v>
      </c>
      <c r="T21" s="73">
        <f t="shared" si="2"/>
        <v>0</v>
      </c>
      <c r="U21" s="73">
        <f t="shared" si="2"/>
        <v>0</v>
      </c>
      <c r="V21" s="73">
        <f t="shared" si="2"/>
        <v>0</v>
      </c>
      <c r="W21" s="73">
        <f t="shared" si="2"/>
        <v>0</v>
      </c>
      <c r="X21" s="73">
        <f t="shared" si="2"/>
        <v>0</v>
      </c>
      <c r="Y21" s="73">
        <f t="shared" si="2"/>
        <v>0</v>
      </c>
      <c r="Z21" s="73">
        <f t="shared" si="2"/>
        <v>0</v>
      </c>
      <c r="AA21" s="73">
        <f t="shared" si="2"/>
        <v>0</v>
      </c>
      <c r="AB21" s="73">
        <f t="shared" si="2"/>
        <v>0</v>
      </c>
      <c r="AC21" s="73">
        <f t="shared" si="2"/>
        <v>0</v>
      </c>
      <c r="AD21" s="73">
        <f t="shared" si="2"/>
        <v>0</v>
      </c>
      <c r="AE21" s="73">
        <f t="shared" si="2"/>
        <v>0</v>
      </c>
      <c r="AF21" s="73">
        <f t="shared" si="2"/>
        <v>0</v>
      </c>
      <c r="AG21" s="73">
        <f t="shared" si="2"/>
        <v>0</v>
      </c>
      <c r="AH21" s="73">
        <f t="shared" si="2"/>
        <v>0</v>
      </c>
      <c r="AI21" s="73">
        <f t="shared" si="2"/>
        <v>-1</v>
      </c>
      <c r="AJ21" s="73" t="e">
        <f t="shared" si="2"/>
        <v>#DIV/0!</v>
      </c>
      <c r="AK21" s="73" t="e">
        <f t="shared" si="2"/>
        <v>#DIV/0!</v>
      </c>
    </row>
    <row r="22" spans="2:37" s="153" customFormat="1" ht="12.75" hidden="1">
      <c r="B22" s="70" t="s">
        <v>6</v>
      </c>
      <c r="C22" s="70"/>
      <c r="D22" s="73" t="e">
        <f>D18/C18-1</f>
        <v>#DIV/0!</v>
      </c>
      <c r="E22" s="73" t="e">
        <f aca="true" t="shared" si="3" ref="E22:AK22">E18/D18-1</f>
        <v>#DIV/0!</v>
      </c>
      <c r="F22" s="73">
        <f t="shared" si="3"/>
        <v>0.12363670343501987</v>
      </c>
      <c r="G22" s="73">
        <f t="shared" si="3"/>
        <v>0.0037221780667962</v>
      </c>
      <c r="H22" s="73">
        <f t="shared" si="3"/>
        <v>0.0026174747228457917</v>
      </c>
      <c r="I22" s="73">
        <f t="shared" si="3"/>
        <v>0.00035575450055236324</v>
      </c>
      <c r="J22" s="73">
        <f t="shared" si="3"/>
        <v>0.0036146312861915497</v>
      </c>
      <c r="K22" s="73">
        <f t="shared" si="3"/>
        <v>0</v>
      </c>
      <c r="L22" s="73">
        <f t="shared" si="3"/>
        <v>0</v>
      </c>
      <c r="M22" s="73">
        <f t="shared" si="3"/>
        <v>0</v>
      </c>
      <c r="N22" s="73">
        <f t="shared" si="3"/>
        <v>0</v>
      </c>
      <c r="O22" s="73">
        <f t="shared" si="3"/>
        <v>0.00526874292568813</v>
      </c>
      <c r="P22" s="73">
        <f t="shared" si="3"/>
        <v>0</v>
      </c>
      <c r="Q22" s="73">
        <f t="shared" si="3"/>
        <v>0</v>
      </c>
      <c r="R22" s="73">
        <f t="shared" si="3"/>
        <v>0</v>
      </c>
      <c r="S22" s="73">
        <f t="shared" si="3"/>
        <v>0</v>
      </c>
      <c r="T22" s="73">
        <f t="shared" si="3"/>
        <v>0</v>
      </c>
      <c r="U22" s="73">
        <f t="shared" si="3"/>
        <v>0</v>
      </c>
      <c r="V22" s="73">
        <f t="shared" si="3"/>
        <v>0</v>
      </c>
      <c r="W22" s="73">
        <f t="shared" si="3"/>
        <v>0</v>
      </c>
      <c r="X22" s="73">
        <f t="shared" si="3"/>
        <v>0</v>
      </c>
      <c r="Y22" s="73">
        <f t="shared" si="3"/>
        <v>0</v>
      </c>
      <c r="Z22" s="73">
        <f t="shared" si="3"/>
        <v>0</v>
      </c>
      <c r="AA22" s="73">
        <f t="shared" si="3"/>
        <v>0</v>
      </c>
      <c r="AB22" s="73">
        <f t="shared" si="3"/>
        <v>0</v>
      </c>
      <c r="AC22" s="73">
        <f t="shared" si="3"/>
        <v>0</v>
      </c>
      <c r="AD22" s="73">
        <f t="shared" si="3"/>
        <v>0</v>
      </c>
      <c r="AE22" s="73">
        <f t="shared" si="3"/>
        <v>0</v>
      </c>
      <c r="AF22" s="73">
        <f t="shared" si="3"/>
        <v>0</v>
      </c>
      <c r="AG22" s="73">
        <f t="shared" si="3"/>
        <v>0</v>
      </c>
      <c r="AH22" s="73">
        <f t="shared" si="3"/>
        <v>0</v>
      </c>
      <c r="AI22" s="73">
        <f t="shared" si="3"/>
        <v>-1</v>
      </c>
      <c r="AJ22" s="73" t="e">
        <f t="shared" si="3"/>
        <v>#DIV/0!</v>
      </c>
      <c r="AK22" s="73" t="e">
        <f t="shared" si="3"/>
        <v>#DIV/0!</v>
      </c>
    </row>
    <row r="23" s="153" customFormat="1" ht="12.75" hidden="1"/>
    <row r="24" spans="2:37" s="153" customFormat="1" ht="12.75" hidden="1">
      <c r="B24" s="159" t="s">
        <v>15</v>
      </c>
      <c r="C24" s="151">
        <f>'Peňažné toky projektu'!B32</f>
        <v>0</v>
      </c>
      <c r="D24" s="151">
        <f>'Peňažné toky projektu'!C32</f>
        <v>0</v>
      </c>
      <c r="E24" s="151">
        <f>'Peňažné toky projektu'!D32</f>
        <v>-813.2204915854381</v>
      </c>
      <c r="F24" s="151">
        <f>'Peňažné toky projektu'!E32</f>
        <v>10658.341709634715</v>
      </c>
      <c r="G24" s="151">
        <f>'Peňažné toky projektu'!F32</f>
        <v>12047.08158528203</v>
      </c>
      <c r="H24" s="151">
        <f>'Peňažné toky projektu'!G32</f>
        <v>14285.869631845824</v>
      </c>
      <c r="I24" s="151">
        <f>'Peňažné toky projektu'!H32</f>
        <v>16640.494521589004</v>
      </c>
      <c r="J24" s="151">
        <f>'Peňažné toky projektu'!I32</f>
        <v>18957.804458970215</v>
      </c>
      <c r="K24" s="151">
        <f>'Peňažné toky projektu'!J32</f>
        <v>21275.114396351426</v>
      </c>
      <c r="L24" s="151">
        <f>'Peňažné toky projektu'!K32</f>
        <v>23592.424333732637</v>
      </c>
      <c r="M24" s="151">
        <f>'Peňažné toky projektu'!L32</f>
        <v>25909.734271113848</v>
      </c>
      <c r="N24" s="151">
        <f>'Peňažné toky projektu'!M32</f>
        <v>28227.04420849506</v>
      </c>
      <c r="O24" s="151">
        <f>'Peňažné toky projektu'!N32</f>
        <v>30444.77414587627</v>
      </c>
      <c r="P24" s="151">
        <f>'Peňažné toky projektu'!O32</f>
        <v>32662.504083257478</v>
      </c>
      <c r="Q24" s="151">
        <f>'Peňažné toky projektu'!P32</f>
        <v>45746.33665528954</v>
      </c>
      <c r="R24" s="151">
        <f>'Peňažné toky projektu'!Q32</f>
        <v>57947.210727321595</v>
      </c>
      <c r="S24" s="151">
        <f>'Peňažné toky projektu'!R32</f>
        <v>20515.10286790374</v>
      </c>
      <c r="T24" s="151">
        <f>'Peňažné toky projektu'!S32</f>
        <v>32873.87500848589</v>
      </c>
      <c r="U24" s="151">
        <f>'Peňažné toky projektu'!T32</f>
        <v>45232.64714906804</v>
      </c>
      <c r="V24" s="151">
        <f>'Peňažné toky projektu'!U32</f>
        <v>57591.41928965019</v>
      </c>
      <c r="W24" s="151">
        <f>'Peňažné toky projektu'!V32</f>
        <v>69950.19143023234</v>
      </c>
      <c r="X24" s="151">
        <f>'Peňažné toky projektu'!W32</f>
        <v>82308.96357081449</v>
      </c>
      <c r="Y24" s="151">
        <f>'Peňažné toky projektu'!X32</f>
        <v>93688.76772444075</v>
      </c>
      <c r="Z24" s="151">
        <f>'Peňažné toky projektu'!Y32</f>
        <v>104785.61854226963</v>
      </c>
      <c r="AA24" s="151">
        <f>'Peňažné toky projektu'!Z32</f>
        <v>115882.4693600985</v>
      </c>
      <c r="AB24" s="151">
        <f>'Peňažné toky projektu'!AA32</f>
        <v>126979.32017792738</v>
      </c>
      <c r="AC24" s="151">
        <f>'Peňažné toky projektu'!AB32</f>
        <v>138076.17099575626</v>
      </c>
      <c r="AD24" s="151">
        <f>'Peňažné toky projektu'!AC32</f>
        <v>149173.02181358513</v>
      </c>
      <c r="AE24" s="151">
        <f>'Peňažné toky projektu'!AD32</f>
        <v>160111.9745628639</v>
      </c>
      <c r="AF24" s="151">
        <f>'Peňažné toky projektu'!AE32</f>
        <v>171050.92731214268</v>
      </c>
      <c r="AG24" s="151">
        <f>'Peňažné toky projektu'!AF32</f>
        <v>181989.88006142146</v>
      </c>
      <c r="AH24" s="151">
        <f>'Peňažné toky projektu'!AG32</f>
        <v>192928.83281070023</v>
      </c>
      <c r="AI24" s="151">
        <f>'Peňažné toky projektu'!AH32</f>
        <v>190362.9056225978</v>
      </c>
      <c r="AJ24" s="151">
        <f>'Peňažné toky projektu'!AI32</f>
        <v>190362.9056225978</v>
      </c>
      <c r="AK24" s="151">
        <f>'Peňažné toky projektu'!AJ32</f>
        <v>190362.9056225978</v>
      </c>
    </row>
    <row r="25" spans="2:37" s="153" customFormat="1" ht="12.75" hidden="1">
      <c r="B25" s="159"/>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2:37" s="153" customFormat="1" ht="12.75" hidden="1">
      <c r="B26" s="167" t="s">
        <v>154</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row>
    <row r="27" spans="2:37" s="153" customFormat="1" ht="12.75" hidden="1">
      <c r="B27" s="161" t="s">
        <v>150</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row>
    <row r="28" spans="2:37" s="153" customFormat="1" ht="12.75" hidden="1">
      <c r="B28" s="161" t="s">
        <v>151</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2:37" s="153" customFormat="1" ht="12.75" hidden="1">
      <c r="B29" s="161" t="s">
        <v>241</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2:37" s="153" customFormat="1" ht="12.75" hidden="1">
      <c r="B30" s="161" t="s">
        <v>152</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2:37" s="153" customFormat="1" ht="12.75" hidden="1">
      <c r="B31" s="161" t="s">
        <v>153</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s="153" customFormat="1" ht="12.75" hidden="1">
      <c r="B32" s="161" t="s">
        <v>145</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row>
    <row r="33" spans="2:37" s="153" customFormat="1" ht="12.75" hidden="1">
      <c r="B33" s="159"/>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153" customFormat="1" ht="12.75" hidden="1"/>
    <row r="35" ht="18">
      <c r="B35" s="160" t="s">
        <v>139</v>
      </c>
    </row>
    <row r="36" ht="12.75" customHeight="1">
      <c r="B36" s="160"/>
    </row>
    <row r="37" spans="1:13" ht="12.75" customHeight="1">
      <c r="A37" s="162"/>
      <c r="B37" s="165"/>
      <c r="C37" s="163"/>
      <c r="D37" s="163"/>
      <c r="E37" s="163"/>
      <c r="F37" s="163"/>
      <c r="G37" s="163"/>
      <c r="H37" s="163"/>
      <c r="I37" s="163"/>
      <c r="J37" s="163"/>
      <c r="K37" s="163"/>
      <c r="L37" s="163"/>
      <c r="M37" s="163"/>
    </row>
    <row r="38" spans="1:13" ht="12.75">
      <c r="A38" s="162"/>
      <c r="B38" s="163" t="s">
        <v>140</v>
      </c>
      <c r="C38" s="163"/>
      <c r="D38" s="163"/>
      <c r="E38" s="163"/>
      <c r="F38" s="163"/>
      <c r="G38" s="163"/>
      <c r="H38" s="163"/>
      <c r="I38" s="163"/>
      <c r="J38" s="163"/>
      <c r="K38" s="163"/>
      <c r="L38" s="163"/>
      <c r="M38" s="163"/>
    </row>
    <row r="39" spans="1:13" ht="12.75">
      <c r="A39" s="162"/>
      <c r="B39" s="163" t="s">
        <v>142</v>
      </c>
      <c r="C39" s="163"/>
      <c r="D39" s="163"/>
      <c r="E39" s="163"/>
      <c r="F39" s="163"/>
      <c r="G39" s="163"/>
      <c r="H39" s="163"/>
      <c r="I39" s="163"/>
      <c r="J39" s="163"/>
      <c r="K39" s="163"/>
      <c r="L39" s="163"/>
      <c r="M39" s="163"/>
    </row>
    <row r="40" spans="1:13" ht="12.75">
      <c r="A40" s="162"/>
      <c r="B40" s="164" t="s">
        <v>141</v>
      </c>
      <c r="C40" s="163"/>
      <c r="D40" s="163"/>
      <c r="E40" s="163"/>
      <c r="F40" s="163"/>
      <c r="G40" s="163"/>
      <c r="H40" s="163"/>
      <c r="I40" s="163"/>
      <c r="J40" s="163"/>
      <c r="K40" s="163"/>
      <c r="L40" s="163"/>
      <c r="M40" s="163"/>
    </row>
    <row r="41" spans="1:13" ht="12.75">
      <c r="A41" s="162"/>
      <c r="B41" s="163" t="s">
        <v>144</v>
      </c>
      <c r="C41" s="163"/>
      <c r="D41" s="163"/>
      <c r="E41" s="163"/>
      <c r="F41" s="163"/>
      <c r="G41" s="163"/>
      <c r="H41" s="163"/>
      <c r="I41" s="163"/>
      <c r="J41" s="163"/>
      <c r="K41" s="163"/>
      <c r="L41" s="163"/>
      <c r="M41" s="163"/>
    </row>
    <row r="42" spans="1:13" ht="12.75">
      <c r="A42" s="162"/>
      <c r="B42" s="164" t="s">
        <v>147</v>
      </c>
      <c r="C42" s="163"/>
      <c r="D42" s="163"/>
      <c r="E42" s="163"/>
      <c r="F42" s="163"/>
      <c r="G42" s="163"/>
      <c r="H42" s="163"/>
      <c r="I42" s="163"/>
      <c r="J42" s="163"/>
      <c r="K42" s="163"/>
      <c r="L42" s="163"/>
      <c r="M42" s="163"/>
    </row>
    <row r="43" spans="1:13" ht="12.75">
      <c r="A43" s="162"/>
      <c r="B43" s="164" t="s">
        <v>148</v>
      </c>
      <c r="C43" s="163"/>
      <c r="D43" s="163"/>
      <c r="E43" s="163"/>
      <c r="F43" s="163"/>
      <c r="G43" s="163"/>
      <c r="H43" s="163"/>
      <c r="I43" s="163"/>
      <c r="J43" s="163"/>
      <c r="K43" s="163"/>
      <c r="L43" s="163"/>
      <c r="M43" s="163"/>
    </row>
    <row r="44" spans="1:13" ht="12.75">
      <c r="A44" s="162"/>
      <c r="B44" s="164"/>
      <c r="C44" s="163"/>
      <c r="D44" s="163"/>
      <c r="E44" s="163"/>
      <c r="F44" s="163"/>
      <c r="G44" s="163"/>
      <c r="H44" s="163"/>
      <c r="I44" s="163"/>
      <c r="J44" s="163"/>
      <c r="K44" s="163"/>
      <c r="L44" s="163"/>
      <c r="M44" s="163"/>
    </row>
    <row r="45" spans="1:13" ht="40.5" customHeight="1">
      <c r="A45" s="162"/>
      <c r="B45" s="375" t="s">
        <v>149</v>
      </c>
      <c r="C45" s="375"/>
      <c r="D45" s="375"/>
      <c r="E45" s="375"/>
      <c r="F45" s="375"/>
      <c r="G45" s="375"/>
      <c r="H45" s="375"/>
      <c r="I45" s="375"/>
      <c r="J45" s="375"/>
      <c r="K45" s="375"/>
      <c r="L45" s="375"/>
      <c r="M45" s="163"/>
    </row>
    <row r="46" spans="1:13" ht="12.75">
      <c r="A46" s="162"/>
      <c r="B46" s="164"/>
      <c r="C46" s="163"/>
      <c r="D46" s="163"/>
      <c r="E46" s="163"/>
      <c r="F46" s="163"/>
      <c r="G46" s="163"/>
      <c r="H46" s="163"/>
      <c r="I46" s="163"/>
      <c r="J46" s="163"/>
      <c r="K46" s="163"/>
      <c r="L46" s="163"/>
      <c r="M46" s="163"/>
    </row>
    <row r="47" ht="12.75"/>
    <row r="48" ht="12.75"/>
    <row r="49" ht="13.5" thickBot="1">
      <c r="B49" s="169" t="s">
        <v>146</v>
      </c>
    </row>
    <row r="50" spans="2:13" s="166" customFormat="1" ht="33" customHeight="1" thickTop="1">
      <c r="B50" s="376">
        <f>IF(C4,"",B27)</f>
      </c>
      <c r="C50" s="377"/>
      <c r="D50" s="377"/>
      <c r="E50" s="377"/>
      <c r="F50" s="377"/>
      <c r="G50" s="377"/>
      <c r="H50" s="377"/>
      <c r="I50" s="377"/>
      <c r="J50" s="377"/>
      <c r="K50" s="377"/>
      <c r="L50" s="377"/>
      <c r="M50" s="378"/>
    </row>
    <row r="51" spans="2:13" s="166" customFormat="1" ht="45" customHeight="1">
      <c r="B51" s="379">
        <f>IF(C10,"",B28)</f>
      </c>
      <c r="C51" s="380"/>
      <c r="D51" s="380"/>
      <c r="E51" s="380"/>
      <c r="F51" s="380"/>
      <c r="G51" s="380"/>
      <c r="H51" s="380"/>
      <c r="I51" s="380"/>
      <c r="J51" s="380"/>
      <c r="K51" s="380"/>
      <c r="L51" s="380"/>
      <c r="M51" s="381"/>
    </row>
    <row r="52" spans="2:13" s="166" customFormat="1" ht="44.25" customHeight="1">
      <c r="B52" s="379"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80"/>
      <c r="D52" s="380"/>
      <c r="E52" s="380"/>
      <c r="F52" s="380"/>
      <c r="G52" s="380"/>
      <c r="H52" s="380"/>
      <c r="I52" s="380"/>
      <c r="J52" s="380"/>
      <c r="K52" s="380"/>
      <c r="L52" s="380"/>
      <c r="M52" s="381"/>
    </row>
    <row r="53" spans="2:13" s="166" customFormat="1" ht="38.25" customHeight="1">
      <c r="B53" s="379">
        <f>IF(J4,"",B30)</f>
      </c>
      <c r="C53" s="380"/>
      <c r="D53" s="380"/>
      <c r="E53" s="380"/>
      <c r="F53" s="380"/>
      <c r="G53" s="380"/>
      <c r="H53" s="380"/>
      <c r="I53" s="380"/>
      <c r="J53" s="380"/>
      <c r="K53" s="380"/>
      <c r="L53" s="380"/>
      <c r="M53" s="381"/>
    </row>
    <row r="54" spans="2:13" s="166" customFormat="1" ht="27.75" customHeight="1">
      <c r="B54" s="379"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80"/>
      <c r="D54" s="380"/>
      <c r="E54" s="380"/>
      <c r="F54" s="380"/>
      <c r="G54" s="380"/>
      <c r="H54" s="380"/>
      <c r="I54" s="380"/>
      <c r="J54" s="380"/>
      <c r="K54" s="380"/>
      <c r="L54" s="380"/>
      <c r="M54" s="381"/>
    </row>
    <row r="55" spans="2:13" ht="20.25" customHeight="1" thickBot="1">
      <c r="B55" s="372">
        <f>IF(COUNTIF(B50:B54,"")=5,B32,"")</f>
      </c>
      <c r="C55" s="373"/>
      <c r="D55" s="373"/>
      <c r="E55" s="373"/>
      <c r="F55" s="373"/>
      <c r="G55" s="373"/>
      <c r="H55" s="373"/>
      <c r="I55" s="373"/>
      <c r="J55" s="373"/>
      <c r="K55" s="373"/>
      <c r="L55" s="373"/>
      <c r="M55" s="374"/>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fitToHeight="1" fitToWidth="1" horizontalDpi="600" verticalDpi="600" orientation="landscape" paperSize="9" scale="96" r:id="rId3"/>
  <colBreaks count="1" manualBreakCount="1">
    <brk id="13" max="65535" man="1"/>
  </colBreaks>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2013</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2013</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69"/>
  <sheetViews>
    <sheetView showGridLines="0" view="pageBreakPreview" zoomScale="60" zoomScalePageLayoutView="0" workbookViewId="0" topLeftCell="A25">
      <selection activeCell="F37" sqref="F37"/>
    </sheetView>
  </sheetViews>
  <sheetFormatPr defaultColWidth="9.00390625" defaultRowHeight="12.75"/>
  <cols>
    <col min="1" max="1" width="3.00390625" style="86" customWidth="1"/>
    <col min="2" max="2" width="9.125" style="86" customWidth="1"/>
    <col min="3" max="3" width="32.375" style="86" customWidth="1"/>
    <col min="4" max="4" width="11.25390625" style="86" customWidth="1"/>
    <col min="5" max="5" width="0.12890625" style="86" customWidth="1"/>
    <col min="6" max="6" width="12.875" style="86" customWidth="1"/>
    <col min="7" max="7" width="3.00390625" style="86" customWidth="1"/>
    <col min="8" max="8" width="6.875" style="86" customWidth="1"/>
    <col min="9" max="9" width="3.00390625" style="86" customWidth="1"/>
    <col min="10" max="10" width="9.125" style="86" customWidth="1"/>
    <col min="11" max="11" width="3.25390625" style="86" customWidth="1"/>
    <col min="12" max="12" width="38.125" style="86" customWidth="1"/>
    <col min="13" max="13" width="9.125" style="86" customWidth="1"/>
    <col min="14" max="14" width="0.6171875" style="86" customWidth="1"/>
    <col min="15" max="15" width="12.625" style="86" customWidth="1"/>
    <col min="16" max="16" width="3.00390625" style="86" customWidth="1"/>
    <col min="17" max="16384" width="9.125" style="86" customWidth="1"/>
  </cols>
  <sheetData>
    <row r="1" spans="2:12" s="54" customFormat="1" ht="12.75" hidden="1">
      <c r="B1" s="54" t="s">
        <v>82</v>
      </c>
      <c r="D1" s="5">
        <v>4</v>
      </c>
      <c r="L1" s="56"/>
    </row>
    <row r="2" spans="6:13" s="54" customFormat="1" ht="12.75" hidden="1">
      <c r="F2" s="90"/>
      <c r="M2" s="296"/>
    </row>
    <row r="3" spans="2:4" s="186" customFormat="1" ht="38.25" hidden="1">
      <c r="B3" s="187" t="s">
        <v>169</v>
      </c>
      <c r="C3" s="187" t="s">
        <v>86</v>
      </c>
      <c r="D3" s="187" t="s">
        <v>87</v>
      </c>
    </row>
    <row r="4" spans="1:4" s="54" customFormat="1" ht="12.75" hidden="1">
      <c r="A4" s="54">
        <v>1</v>
      </c>
      <c r="B4" s="297">
        <v>1</v>
      </c>
      <c r="C4" s="297">
        <v>0.85</v>
      </c>
      <c r="D4" s="297">
        <v>0.15</v>
      </c>
    </row>
    <row r="5" spans="1:6" s="54" customFormat="1" ht="12.75" hidden="1">
      <c r="A5" s="54">
        <v>2</v>
      </c>
      <c r="B5" s="297">
        <v>0.95</v>
      </c>
      <c r="C5" s="297">
        <v>0.85</v>
      </c>
      <c r="D5" s="297">
        <v>0.1</v>
      </c>
      <c r="F5" s="94" t="s">
        <v>242</v>
      </c>
    </row>
    <row r="6" spans="1:6" s="54" customFormat="1" ht="12.75" hidden="1">
      <c r="A6" s="54">
        <v>3</v>
      </c>
      <c r="B6" s="297">
        <v>0.95</v>
      </c>
      <c r="C6" s="297">
        <v>0.85</v>
      </c>
      <c r="D6" s="297">
        <v>0.1</v>
      </c>
      <c r="F6" s="297">
        <f>VLOOKUP(D1,A4:B23,2)</f>
        <v>0.95</v>
      </c>
    </row>
    <row r="7" spans="1:4" s="54" customFormat="1" ht="12.75" hidden="1">
      <c r="A7" s="54">
        <v>4</v>
      </c>
      <c r="B7" s="297">
        <v>0.95</v>
      </c>
      <c r="C7" s="297">
        <v>0.85</v>
      </c>
      <c r="D7" s="297">
        <v>0.1</v>
      </c>
    </row>
    <row r="8" spans="1:6" s="54" customFormat="1" ht="12.75" hidden="1">
      <c r="A8" s="54">
        <v>5</v>
      </c>
      <c r="B8" s="297">
        <v>0.95</v>
      </c>
      <c r="C8" s="298">
        <v>0.8075</v>
      </c>
      <c r="D8" s="298">
        <v>0.1425</v>
      </c>
      <c r="F8" s="54" t="s">
        <v>86</v>
      </c>
    </row>
    <row r="9" spans="1:6" s="54" customFormat="1" ht="12.75" hidden="1">
      <c r="A9" s="54">
        <v>6</v>
      </c>
      <c r="B9" s="297">
        <v>0.4</v>
      </c>
      <c r="C9" s="297">
        <v>0.85</v>
      </c>
      <c r="D9" s="297">
        <v>0.15</v>
      </c>
      <c r="F9" s="298">
        <f>VLOOKUP(D1,A4:D23,3)</f>
        <v>0.85</v>
      </c>
    </row>
    <row r="10" spans="1:4" s="54" customFormat="1" ht="12.75" hidden="1">
      <c r="A10" s="54">
        <v>7</v>
      </c>
      <c r="B10" s="297">
        <v>0.5</v>
      </c>
      <c r="C10" s="297">
        <v>0.85</v>
      </c>
      <c r="D10" s="297">
        <v>0.15</v>
      </c>
    </row>
    <row r="11" spans="1:6" s="54" customFormat="1" ht="12.75" hidden="1">
      <c r="A11" s="54">
        <v>8</v>
      </c>
      <c r="B11" s="297">
        <v>0.6</v>
      </c>
      <c r="C11" s="297">
        <v>0.85</v>
      </c>
      <c r="D11" s="297">
        <v>0.15</v>
      </c>
      <c r="F11" s="54" t="s">
        <v>87</v>
      </c>
    </row>
    <row r="12" spans="1:6" s="54" customFormat="1" ht="12.75" hidden="1">
      <c r="A12" s="54">
        <v>9</v>
      </c>
      <c r="B12" s="297">
        <v>0.5</v>
      </c>
      <c r="C12" s="297">
        <v>0.85</v>
      </c>
      <c r="D12" s="297">
        <v>0.15</v>
      </c>
      <c r="F12" s="298">
        <f>VLOOKUP(D1,A4:D23,4)</f>
        <v>0.1</v>
      </c>
    </row>
    <row r="13" spans="1:4" s="54" customFormat="1" ht="12.75" hidden="1">
      <c r="A13" s="54">
        <v>10</v>
      </c>
      <c r="B13" s="297">
        <v>0.6</v>
      </c>
      <c r="C13" s="297">
        <v>0.85</v>
      </c>
      <c r="D13" s="297">
        <v>0.15</v>
      </c>
    </row>
    <row r="14" spans="1:4" s="54" customFormat="1" ht="12.75" hidden="1">
      <c r="A14" s="54">
        <v>11</v>
      </c>
      <c r="B14" s="297">
        <v>0.7</v>
      </c>
      <c r="C14" s="297">
        <v>0.85</v>
      </c>
      <c r="D14" s="297">
        <v>0.15</v>
      </c>
    </row>
    <row r="15" spans="1:4" s="54" customFormat="1" ht="12.75" hidden="1">
      <c r="A15" s="54">
        <v>12</v>
      </c>
      <c r="B15" s="297">
        <v>0.5</v>
      </c>
      <c r="C15" s="297">
        <v>0.85</v>
      </c>
      <c r="D15" s="297">
        <v>0.15</v>
      </c>
    </row>
    <row r="16" spans="1:4" s="54" customFormat="1" ht="12.75" hidden="1">
      <c r="A16" s="54">
        <v>13</v>
      </c>
      <c r="B16" s="297">
        <v>0.6</v>
      </c>
      <c r="C16" s="297">
        <v>0.85</v>
      </c>
      <c r="D16" s="297">
        <v>0.15</v>
      </c>
    </row>
    <row r="17" spans="1:4" s="54" customFormat="1" ht="12.75" hidden="1">
      <c r="A17" s="54">
        <v>14</v>
      </c>
      <c r="B17" s="297">
        <v>0.7</v>
      </c>
      <c r="C17" s="297">
        <v>0.85</v>
      </c>
      <c r="D17" s="297">
        <v>0.15</v>
      </c>
    </row>
    <row r="18" spans="1:4" s="54" customFormat="1" ht="12.75" hidden="1">
      <c r="A18" s="54">
        <v>15</v>
      </c>
      <c r="B18" s="297">
        <v>0.35</v>
      </c>
      <c r="C18" s="297">
        <v>0.85</v>
      </c>
      <c r="D18" s="297">
        <v>0.15</v>
      </c>
    </row>
    <row r="19" spans="1:4" s="54" customFormat="1" ht="12.75" hidden="1">
      <c r="A19" s="54">
        <v>16</v>
      </c>
      <c r="B19" s="297">
        <v>0.45</v>
      </c>
      <c r="C19" s="297">
        <v>0.85</v>
      </c>
      <c r="D19" s="297">
        <v>0.15</v>
      </c>
    </row>
    <row r="20" spans="1:4" s="54" customFormat="1" ht="12.75" hidden="1">
      <c r="A20" s="54">
        <v>17</v>
      </c>
      <c r="B20" s="297">
        <v>0.55</v>
      </c>
      <c r="C20" s="297">
        <v>0.85</v>
      </c>
      <c r="D20" s="297">
        <v>0.15</v>
      </c>
    </row>
    <row r="21" spans="1:4" s="54" customFormat="1" ht="12.75" hidden="1">
      <c r="A21" s="54">
        <v>18</v>
      </c>
      <c r="B21" s="297">
        <v>0.45</v>
      </c>
      <c r="C21" s="297">
        <v>0.85</v>
      </c>
      <c r="D21" s="297">
        <v>0.15</v>
      </c>
    </row>
    <row r="22" spans="1:4" s="54" customFormat="1" ht="12.75" hidden="1">
      <c r="A22" s="54">
        <v>19</v>
      </c>
      <c r="B22" s="297">
        <v>0.55</v>
      </c>
      <c r="C22" s="297">
        <v>0.85</v>
      </c>
      <c r="D22" s="297">
        <v>0.15</v>
      </c>
    </row>
    <row r="23" spans="1:4" s="54" customFormat="1" ht="12.75" hidden="1">
      <c r="A23" s="54">
        <v>20</v>
      </c>
      <c r="B23" s="297">
        <v>0.65</v>
      </c>
      <c r="C23" s="297">
        <v>0.85</v>
      </c>
      <c r="D23" s="297">
        <v>0.15</v>
      </c>
    </row>
    <row r="24" s="54" customFormat="1" ht="12.75" hidden="1">
      <c r="B24" s="297"/>
    </row>
    <row r="25" spans="1:16" ht="20.25">
      <c r="A25" s="321" t="s">
        <v>81</v>
      </c>
      <c r="B25" s="321"/>
      <c r="C25" s="321"/>
      <c r="D25" s="321"/>
      <c r="E25" s="321"/>
      <c r="F25" s="321"/>
      <c r="G25" s="321"/>
      <c r="H25" s="321"/>
      <c r="I25" s="321"/>
      <c r="J25" s="321"/>
      <c r="K25" s="321"/>
      <c r="L25" s="321"/>
      <c r="M25" s="321"/>
      <c r="N25" s="321"/>
      <c r="O25" s="321"/>
      <c r="P25" s="321"/>
    </row>
    <row r="26" ht="13.5" thickBot="1"/>
    <row r="27" spans="2:16" ht="13.5" thickTop="1">
      <c r="B27" s="102"/>
      <c r="C27" s="103"/>
      <c r="D27" s="103"/>
      <c r="E27" s="103"/>
      <c r="F27" s="103"/>
      <c r="G27" s="104"/>
      <c r="I27" s="102"/>
      <c r="J27" s="103"/>
      <c r="K27" s="103"/>
      <c r="L27" s="103"/>
      <c r="M27" s="103"/>
      <c r="N27" s="103"/>
      <c r="O27" s="103"/>
      <c r="P27" s="104"/>
    </row>
    <row r="28" spans="2:16" ht="12.75">
      <c r="B28" s="322" t="s">
        <v>70</v>
      </c>
      <c r="C28" s="323"/>
      <c r="D28" s="323"/>
      <c r="E28" s="323"/>
      <c r="F28" s="323"/>
      <c r="G28" s="105"/>
      <c r="H28" s="95"/>
      <c r="I28" s="106"/>
      <c r="J28" s="323" t="s">
        <v>71</v>
      </c>
      <c r="K28" s="323"/>
      <c r="L28" s="323"/>
      <c r="M28" s="323"/>
      <c r="N28" s="323"/>
      <c r="O28" s="323"/>
      <c r="P28" s="108"/>
    </row>
    <row r="29" spans="2:16" ht="54" customHeight="1">
      <c r="B29" s="106"/>
      <c r="C29" s="96"/>
      <c r="D29" s="96"/>
      <c r="E29" s="96"/>
      <c r="F29" s="97" t="s">
        <v>124</v>
      </c>
      <c r="G29" s="107"/>
      <c r="H29" s="88"/>
      <c r="I29" s="93"/>
      <c r="J29" s="96"/>
      <c r="K29" s="96"/>
      <c r="L29" s="96"/>
      <c r="M29" s="96"/>
      <c r="N29" s="96"/>
      <c r="O29" s="97" t="s">
        <v>124</v>
      </c>
      <c r="P29" s="108"/>
    </row>
    <row r="30" spans="2:16" ht="12.75">
      <c r="B30" s="106"/>
      <c r="C30" s="96"/>
      <c r="D30" s="96"/>
      <c r="E30" s="96"/>
      <c r="F30" s="96"/>
      <c r="G30" s="108"/>
      <c r="I30" s="106"/>
      <c r="J30" s="96"/>
      <c r="K30" s="96"/>
      <c r="L30" s="96"/>
      <c r="M30" s="96"/>
      <c r="N30" s="96"/>
      <c r="O30" s="96"/>
      <c r="P30" s="108"/>
    </row>
    <row r="31" spans="2:16" ht="12.75">
      <c r="B31" s="106"/>
      <c r="C31" s="96" t="s">
        <v>73</v>
      </c>
      <c r="D31" s="96"/>
      <c r="E31" s="96"/>
      <c r="F31" s="98">
        <v>1</v>
      </c>
      <c r="G31" s="109"/>
      <c r="H31" s="89"/>
      <c r="I31" s="111"/>
      <c r="J31" s="96"/>
      <c r="K31" s="96" t="s">
        <v>74</v>
      </c>
      <c r="L31" s="96"/>
      <c r="M31" s="96"/>
      <c r="N31" s="96"/>
      <c r="O31" s="98">
        <v>0.95</v>
      </c>
      <c r="P31" s="108"/>
    </row>
    <row r="32" spans="2:16" ht="38.25">
      <c r="B32" s="106"/>
      <c r="C32" s="314" t="s">
        <v>305</v>
      </c>
      <c r="D32" s="96"/>
      <c r="E32" s="96"/>
      <c r="F32" s="98">
        <v>0.95</v>
      </c>
      <c r="G32" s="109"/>
      <c r="H32" s="89"/>
      <c r="I32" s="111"/>
      <c r="J32" s="96"/>
      <c r="K32" s="96"/>
      <c r="L32" s="96"/>
      <c r="M32" s="96"/>
      <c r="N32" s="96"/>
      <c r="O32" s="99"/>
      <c r="P32" s="108"/>
    </row>
    <row r="33" spans="2:16" ht="12.75">
      <c r="B33" s="106"/>
      <c r="C33" s="96" t="s">
        <v>72</v>
      </c>
      <c r="D33" s="96"/>
      <c r="E33" s="96"/>
      <c r="F33" s="98">
        <v>0.95</v>
      </c>
      <c r="G33" s="109"/>
      <c r="H33" s="89"/>
      <c r="I33" s="111"/>
      <c r="J33" s="96"/>
      <c r="K33" s="96"/>
      <c r="L33" s="96"/>
      <c r="M33" s="96"/>
      <c r="N33" s="96"/>
      <c r="O33" s="96"/>
      <c r="P33" s="108"/>
    </row>
    <row r="34" spans="2:16" ht="25.5">
      <c r="B34" s="106"/>
      <c r="C34" s="314" t="s">
        <v>306</v>
      </c>
      <c r="D34" s="96"/>
      <c r="E34" s="96"/>
      <c r="F34" s="98">
        <v>0.95</v>
      </c>
      <c r="G34" s="109"/>
      <c r="H34" s="89"/>
      <c r="I34" s="111"/>
      <c r="J34" s="96"/>
      <c r="K34" s="96" t="s">
        <v>243</v>
      </c>
      <c r="L34" s="96"/>
      <c r="M34" s="96"/>
      <c r="N34" s="96"/>
      <c r="O34" s="99"/>
      <c r="P34" s="108"/>
    </row>
    <row r="35" spans="2:16" ht="12.75">
      <c r="B35" s="106"/>
      <c r="C35" s="96"/>
      <c r="D35" s="96"/>
      <c r="E35" s="96"/>
      <c r="F35" s="96"/>
      <c r="G35" s="108"/>
      <c r="I35" s="106"/>
      <c r="J35" s="96"/>
      <c r="K35" s="96"/>
      <c r="L35" s="96"/>
      <c r="M35" s="96"/>
      <c r="N35" s="96"/>
      <c r="O35" s="99"/>
      <c r="P35" s="108"/>
    </row>
    <row r="36" spans="2:16" ht="12.75">
      <c r="B36" s="106"/>
      <c r="C36" s="96"/>
      <c r="D36" s="96"/>
      <c r="E36" s="96"/>
      <c r="F36" s="96"/>
      <c r="G36" s="108"/>
      <c r="I36" s="106"/>
      <c r="J36" s="96"/>
      <c r="K36" s="96" t="s">
        <v>76</v>
      </c>
      <c r="L36" s="96"/>
      <c r="M36" s="100"/>
      <c r="N36" s="96"/>
      <c r="O36" s="99"/>
      <c r="P36" s="108"/>
    </row>
    <row r="37" spans="2:16" ht="38.25">
      <c r="B37" s="106"/>
      <c r="C37" s="96"/>
      <c r="D37" s="96"/>
      <c r="E37" s="96"/>
      <c r="F37" s="96"/>
      <c r="G37" s="108"/>
      <c r="I37" s="106"/>
      <c r="J37" s="96"/>
      <c r="K37" s="96"/>
      <c r="L37" s="314" t="s">
        <v>307</v>
      </c>
      <c r="M37" s="96"/>
      <c r="N37" s="96"/>
      <c r="O37" s="299">
        <v>0.4</v>
      </c>
      <c r="P37" s="108"/>
    </row>
    <row r="38" spans="2:16" ht="12.75">
      <c r="B38" s="106"/>
      <c r="C38" s="96"/>
      <c r="D38" s="96"/>
      <c r="E38" s="96"/>
      <c r="F38" s="96"/>
      <c r="G38" s="108"/>
      <c r="I38" s="106"/>
      <c r="J38" s="96"/>
      <c r="K38" s="96"/>
      <c r="L38" s="96" t="s">
        <v>80</v>
      </c>
      <c r="M38" s="96"/>
      <c r="N38" s="96"/>
      <c r="O38" s="98">
        <v>0.5</v>
      </c>
      <c r="P38" s="108"/>
    </row>
    <row r="39" spans="2:16" ht="12.75">
      <c r="B39" s="106"/>
      <c r="C39" s="96"/>
      <c r="D39" s="96"/>
      <c r="E39" s="96"/>
      <c r="F39" s="96"/>
      <c r="G39" s="108"/>
      <c r="I39" s="106"/>
      <c r="J39" s="96"/>
      <c r="K39" s="96"/>
      <c r="L39" s="96" t="s">
        <v>79</v>
      </c>
      <c r="M39" s="96"/>
      <c r="N39" s="96"/>
      <c r="O39" s="98">
        <v>0.6</v>
      </c>
      <c r="P39" s="108"/>
    </row>
    <row r="40" spans="2:16" ht="12.75">
      <c r="B40" s="106"/>
      <c r="C40" s="96"/>
      <c r="D40" s="96"/>
      <c r="E40" s="96"/>
      <c r="F40" s="96"/>
      <c r="G40" s="108"/>
      <c r="I40" s="106"/>
      <c r="J40" s="96"/>
      <c r="K40" s="96"/>
      <c r="L40" s="96"/>
      <c r="M40" s="96"/>
      <c r="N40" s="96"/>
      <c r="O40" s="99"/>
      <c r="P40" s="108"/>
    </row>
    <row r="41" spans="2:16" ht="12.75">
      <c r="B41" s="106"/>
      <c r="C41" s="96"/>
      <c r="D41" s="96"/>
      <c r="E41" s="96"/>
      <c r="F41" s="96"/>
      <c r="G41" s="108"/>
      <c r="I41" s="106"/>
      <c r="J41" s="96"/>
      <c r="K41" s="96" t="s">
        <v>75</v>
      </c>
      <c r="L41" s="96"/>
      <c r="M41" s="100"/>
      <c r="N41" s="96"/>
      <c r="O41" s="99"/>
      <c r="P41" s="108"/>
    </row>
    <row r="42" spans="2:16" ht="38.25">
      <c r="B42" s="106"/>
      <c r="C42" s="96"/>
      <c r="D42" s="96"/>
      <c r="E42" s="96"/>
      <c r="F42" s="96"/>
      <c r="G42" s="108"/>
      <c r="I42" s="106"/>
      <c r="J42" s="96"/>
      <c r="K42" s="96"/>
      <c r="L42" s="314" t="s">
        <v>307</v>
      </c>
      <c r="M42" s="96"/>
      <c r="N42" s="96"/>
      <c r="O42" s="98">
        <v>0.5</v>
      </c>
      <c r="P42" s="108"/>
    </row>
    <row r="43" spans="2:16" ht="12.75">
      <c r="B43" s="106"/>
      <c r="C43" s="96"/>
      <c r="D43" s="96"/>
      <c r="E43" s="96"/>
      <c r="F43" s="96"/>
      <c r="G43" s="108"/>
      <c r="I43" s="106"/>
      <c r="J43" s="96"/>
      <c r="K43" s="96"/>
      <c r="L43" s="96" t="s">
        <v>80</v>
      </c>
      <c r="M43" s="96"/>
      <c r="N43" s="96"/>
      <c r="O43" s="98">
        <v>0.6</v>
      </c>
      <c r="P43" s="108"/>
    </row>
    <row r="44" spans="2:16" ht="12.75">
      <c r="B44" s="106"/>
      <c r="C44" s="96"/>
      <c r="D44" s="96"/>
      <c r="E44" s="96"/>
      <c r="F44" s="96"/>
      <c r="G44" s="108"/>
      <c r="I44" s="106"/>
      <c r="J44" s="96"/>
      <c r="K44" s="96"/>
      <c r="L44" s="96" t="s">
        <v>79</v>
      </c>
      <c r="M44" s="96"/>
      <c r="N44" s="96"/>
      <c r="O44" s="98">
        <v>0.7</v>
      </c>
      <c r="P44" s="108"/>
    </row>
    <row r="45" spans="2:16" ht="12.75">
      <c r="B45" s="106"/>
      <c r="C45" s="96"/>
      <c r="D45" s="96"/>
      <c r="E45" s="96"/>
      <c r="F45" s="96"/>
      <c r="G45" s="108"/>
      <c r="I45" s="106"/>
      <c r="J45" s="96"/>
      <c r="K45" s="96"/>
      <c r="L45" s="96"/>
      <c r="M45" s="100"/>
      <c r="N45" s="96"/>
      <c r="O45" s="99"/>
      <c r="P45" s="108"/>
    </row>
    <row r="46" spans="2:16" ht="12.75">
      <c r="B46" s="106"/>
      <c r="C46" s="96"/>
      <c r="D46" s="96"/>
      <c r="E46" s="96"/>
      <c r="F46" s="96"/>
      <c r="G46" s="108"/>
      <c r="I46" s="106"/>
      <c r="J46" s="96"/>
      <c r="K46" s="96" t="s">
        <v>77</v>
      </c>
      <c r="L46" s="96"/>
      <c r="M46" s="100"/>
      <c r="N46" s="96"/>
      <c r="O46" s="99"/>
      <c r="P46" s="108"/>
    </row>
    <row r="47" spans="2:16" ht="38.25">
      <c r="B47" s="106"/>
      <c r="C47" s="96"/>
      <c r="D47" s="96"/>
      <c r="E47" s="96"/>
      <c r="F47" s="96"/>
      <c r="G47" s="108"/>
      <c r="I47" s="106"/>
      <c r="J47" s="96"/>
      <c r="K47" s="96"/>
      <c r="L47" s="314" t="s">
        <v>307</v>
      </c>
      <c r="M47" s="96"/>
      <c r="N47" s="96"/>
      <c r="O47" s="98">
        <v>0.5</v>
      </c>
      <c r="P47" s="108"/>
    </row>
    <row r="48" spans="2:16" ht="12.75">
      <c r="B48" s="106"/>
      <c r="C48" s="96"/>
      <c r="D48" s="96"/>
      <c r="E48" s="96"/>
      <c r="F48" s="96"/>
      <c r="G48" s="108"/>
      <c r="I48" s="106"/>
      <c r="J48" s="96"/>
      <c r="K48" s="96"/>
      <c r="L48" s="96" t="s">
        <v>80</v>
      </c>
      <c r="M48" s="96"/>
      <c r="N48" s="96"/>
      <c r="O48" s="98">
        <v>0.6</v>
      </c>
      <c r="P48" s="108"/>
    </row>
    <row r="49" spans="2:16" ht="12.75">
      <c r="B49" s="106"/>
      <c r="C49" s="96"/>
      <c r="D49" s="96"/>
      <c r="E49" s="96"/>
      <c r="F49" s="96"/>
      <c r="G49" s="108"/>
      <c r="I49" s="106"/>
      <c r="J49" s="96"/>
      <c r="K49" s="96"/>
      <c r="L49" s="96" t="s">
        <v>79</v>
      </c>
      <c r="M49" s="96"/>
      <c r="N49" s="96"/>
      <c r="O49" s="98">
        <v>0.7</v>
      </c>
      <c r="P49" s="108"/>
    </row>
    <row r="50" spans="2:16" ht="12.75">
      <c r="B50" s="106"/>
      <c r="C50" s="96"/>
      <c r="D50" s="96"/>
      <c r="E50" s="96"/>
      <c r="F50" s="96"/>
      <c r="G50" s="108"/>
      <c r="I50" s="106"/>
      <c r="J50" s="96"/>
      <c r="K50" s="96"/>
      <c r="L50" s="96"/>
      <c r="M50" s="96"/>
      <c r="N50" s="96"/>
      <c r="O50" s="96"/>
      <c r="P50" s="108"/>
    </row>
    <row r="51" spans="2:16" ht="12.75">
      <c r="B51" s="106"/>
      <c r="C51" s="96"/>
      <c r="D51" s="96"/>
      <c r="E51" s="96"/>
      <c r="F51" s="96"/>
      <c r="G51" s="108"/>
      <c r="I51" s="106"/>
      <c r="J51" s="96"/>
      <c r="K51" s="96"/>
      <c r="L51" s="96"/>
      <c r="M51" s="96"/>
      <c r="N51" s="96"/>
      <c r="O51" s="96"/>
      <c r="P51" s="108"/>
    </row>
    <row r="52" spans="2:16" ht="12.75">
      <c r="B52" s="106"/>
      <c r="C52" s="96"/>
      <c r="D52" s="96"/>
      <c r="E52" s="96"/>
      <c r="F52" s="96"/>
      <c r="G52" s="108"/>
      <c r="I52" s="106"/>
      <c r="J52" s="96"/>
      <c r="K52" s="96" t="s">
        <v>244</v>
      </c>
      <c r="L52" s="96"/>
      <c r="M52" s="96"/>
      <c r="N52" s="96"/>
      <c r="O52" s="96"/>
      <c r="P52" s="108"/>
    </row>
    <row r="53" spans="2:16" ht="12.75">
      <c r="B53" s="106"/>
      <c r="C53" s="96"/>
      <c r="D53" s="96"/>
      <c r="E53" s="96"/>
      <c r="F53" s="96"/>
      <c r="G53" s="108"/>
      <c r="I53" s="106"/>
      <c r="J53" s="96"/>
      <c r="K53" s="96" t="s">
        <v>245</v>
      </c>
      <c r="L53" s="96"/>
      <c r="M53" s="96"/>
      <c r="N53" s="96"/>
      <c r="O53" s="96"/>
      <c r="P53" s="108"/>
    </row>
    <row r="54" spans="2:16" ht="12.75">
      <c r="B54" s="106"/>
      <c r="C54" s="96"/>
      <c r="D54" s="96"/>
      <c r="E54" s="96"/>
      <c r="F54" s="96"/>
      <c r="G54" s="108"/>
      <c r="I54" s="106"/>
      <c r="J54" s="96"/>
      <c r="K54" s="96"/>
      <c r="L54" s="96"/>
      <c r="M54" s="96"/>
      <c r="N54" s="96"/>
      <c r="O54" s="96"/>
      <c r="P54" s="108"/>
    </row>
    <row r="55" spans="2:16" ht="12.75">
      <c r="B55" s="106"/>
      <c r="C55" s="96"/>
      <c r="D55" s="96"/>
      <c r="E55" s="96"/>
      <c r="F55" s="96"/>
      <c r="G55" s="108"/>
      <c r="I55" s="106"/>
      <c r="J55" s="96"/>
      <c r="K55" s="96" t="s">
        <v>246</v>
      </c>
      <c r="L55" s="96"/>
      <c r="M55" s="96"/>
      <c r="N55" s="96"/>
      <c r="O55" s="96"/>
      <c r="P55" s="108"/>
    </row>
    <row r="56" spans="2:16" ht="12.75">
      <c r="B56" s="106"/>
      <c r="C56" s="96"/>
      <c r="D56" s="96"/>
      <c r="E56" s="96"/>
      <c r="F56" s="96"/>
      <c r="G56" s="108"/>
      <c r="I56" s="106"/>
      <c r="J56" s="96"/>
      <c r="K56" s="96" t="s">
        <v>247</v>
      </c>
      <c r="L56" s="96"/>
      <c r="M56" s="96"/>
      <c r="N56" s="96"/>
      <c r="O56" s="98"/>
      <c r="P56" s="108"/>
    </row>
    <row r="57" spans="2:16" ht="12.75">
      <c r="B57" s="106"/>
      <c r="C57" s="96"/>
      <c r="D57" s="96"/>
      <c r="E57" s="96"/>
      <c r="F57" s="96"/>
      <c r="G57" s="108"/>
      <c r="I57" s="106"/>
      <c r="J57" s="96"/>
      <c r="K57" s="96"/>
      <c r="L57" s="96" t="s">
        <v>78</v>
      </c>
      <c r="M57" s="96"/>
      <c r="N57" s="96"/>
      <c r="O57" s="98">
        <v>0.35</v>
      </c>
      <c r="P57" s="108"/>
    </row>
    <row r="58" spans="2:16" ht="12.75">
      <c r="B58" s="106"/>
      <c r="C58" s="96"/>
      <c r="D58" s="96"/>
      <c r="E58" s="96"/>
      <c r="F58" s="96"/>
      <c r="G58" s="108"/>
      <c r="I58" s="106"/>
      <c r="J58" s="96"/>
      <c r="K58" s="96"/>
      <c r="L58" s="96" t="s">
        <v>80</v>
      </c>
      <c r="M58" s="96"/>
      <c r="N58" s="96"/>
      <c r="O58" s="98">
        <v>0.45</v>
      </c>
      <c r="P58" s="108"/>
    </row>
    <row r="59" spans="2:16" ht="12.75">
      <c r="B59" s="106"/>
      <c r="C59" s="96"/>
      <c r="D59" s="96"/>
      <c r="E59" s="96"/>
      <c r="F59" s="96"/>
      <c r="G59" s="108"/>
      <c r="I59" s="106"/>
      <c r="J59" s="96"/>
      <c r="K59" s="96"/>
      <c r="L59" s="96" t="s">
        <v>79</v>
      </c>
      <c r="M59" s="96"/>
      <c r="N59" s="96"/>
      <c r="O59" s="98">
        <v>0.55</v>
      </c>
      <c r="P59" s="108"/>
    </row>
    <row r="60" spans="2:16" ht="12.75">
      <c r="B60" s="106"/>
      <c r="C60" s="96"/>
      <c r="D60" s="96"/>
      <c r="E60" s="96"/>
      <c r="F60" s="96"/>
      <c r="G60" s="108"/>
      <c r="I60" s="106"/>
      <c r="J60" s="96"/>
      <c r="K60" s="96"/>
      <c r="L60" s="96"/>
      <c r="M60" s="96"/>
      <c r="N60" s="96"/>
      <c r="O60" s="98"/>
      <c r="P60" s="108"/>
    </row>
    <row r="61" spans="2:16" ht="12.75">
      <c r="B61" s="106"/>
      <c r="C61" s="96"/>
      <c r="D61" s="96"/>
      <c r="E61" s="96"/>
      <c r="F61" s="96"/>
      <c r="G61" s="108"/>
      <c r="I61" s="106"/>
      <c r="J61" s="96"/>
      <c r="K61" s="96" t="s">
        <v>248</v>
      </c>
      <c r="L61" s="96"/>
      <c r="M61" s="96"/>
      <c r="N61" s="96"/>
      <c r="O61" s="98"/>
      <c r="P61" s="108"/>
    </row>
    <row r="62" spans="2:16" ht="12.75">
      <c r="B62" s="106"/>
      <c r="C62" s="96"/>
      <c r="D62" s="96"/>
      <c r="E62" s="96"/>
      <c r="F62" s="96"/>
      <c r="G62" s="108"/>
      <c r="I62" s="106"/>
      <c r="J62" s="96"/>
      <c r="K62" s="96"/>
      <c r="L62" s="96" t="s">
        <v>78</v>
      </c>
      <c r="M62" s="96"/>
      <c r="N62" s="96"/>
      <c r="O62" s="98">
        <v>0.45</v>
      </c>
      <c r="P62" s="108"/>
    </row>
    <row r="63" spans="2:16" ht="12.75">
      <c r="B63" s="106"/>
      <c r="C63" s="96"/>
      <c r="D63" s="96"/>
      <c r="E63" s="96"/>
      <c r="F63" s="96"/>
      <c r="G63" s="108"/>
      <c r="I63" s="106"/>
      <c r="J63" s="96"/>
      <c r="K63" s="96"/>
      <c r="L63" s="96" t="s">
        <v>80</v>
      </c>
      <c r="M63" s="96"/>
      <c r="N63" s="96"/>
      <c r="O63" s="98">
        <v>0.55</v>
      </c>
      <c r="P63" s="108"/>
    </row>
    <row r="64" spans="2:16" ht="12.75">
      <c r="B64" s="106"/>
      <c r="C64" s="96"/>
      <c r="D64" s="96"/>
      <c r="E64" s="96"/>
      <c r="F64" s="96"/>
      <c r="G64" s="108"/>
      <c r="I64" s="106"/>
      <c r="J64" s="96"/>
      <c r="K64" s="96"/>
      <c r="L64" s="96" t="s">
        <v>79</v>
      </c>
      <c r="M64" s="96"/>
      <c r="N64" s="96"/>
      <c r="O64" s="98">
        <v>0.65</v>
      </c>
      <c r="P64" s="108"/>
    </row>
    <row r="65" spans="2:16" ht="12.75">
      <c r="B65" s="106"/>
      <c r="C65" s="96"/>
      <c r="D65" s="96"/>
      <c r="E65" s="96"/>
      <c r="F65" s="96"/>
      <c r="G65" s="108"/>
      <c r="I65" s="106"/>
      <c r="J65" s="96"/>
      <c r="K65" s="96"/>
      <c r="L65" s="96"/>
      <c r="M65" s="96"/>
      <c r="N65" s="96"/>
      <c r="O65" s="98"/>
      <c r="P65" s="108"/>
    </row>
    <row r="66" spans="2:16" ht="12.75">
      <c r="B66" s="106"/>
      <c r="C66" s="96"/>
      <c r="D66" s="96"/>
      <c r="E66" s="96"/>
      <c r="F66" s="96"/>
      <c r="G66" s="108"/>
      <c r="I66" s="106"/>
      <c r="J66" s="96"/>
      <c r="K66" s="96"/>
      <c r="L66" s="96"/>
      <c r="M66" s="96"/>
      <c r="N66" s="96"/>
      <c r="O66" s="98"/>
      <c r="P66" s="108"/>
    </row>
    <row r="67" spans="2:16" ht="13.5" thickBot="1">
      <c r="B67" s="110"/>
      <c r="C67" s="91"/>
      <c r="D67" s="91"/>
      <c r="E67" s="91"/>
      <c r="F67" s="91"/>
      <c r="G67" s="92"/>
      <c r="I67" s="110"/>
      <c r="J67" s="91"/>
      <c r="K67" s="91"/>
      <c r="L67" s="91"/>
      <c r="M67" s="91"/>
      <c r="N67" s="91"/>
      <c r="O67" s="91"/>
      <c r="P67" s="92"/>
    </row>
    <row r="68" ht="13.5" thickTop="1"/>
    <row r="69" spans="9:16" ht="102" customHeight="1">
      <c r="I69" s="319" t="s">
        <v>173</v>
      </c>
      <c r="J69" s="320"/>
      <c r="K69" s="320"/>
      <c r="L69" s="320"/>
      <c r="M69" s="320"/>
      <c r="N69" s="320"/>
      <c r="O69" s="320"/>
      <c r="P69" s="320"/>
    </row>
  </sheetData>
  <sheetProtection password="D464" sheet="1"/>
  <mergeCells count="4">
    <mergeCell ref="I69:P69"/>
    <mergeCell ref="A25:P25"/>
    <mergeCell ref="B28:F28"/>
    <mergeCell ref="J28:O28"/>
  </mergeCells>
  <printOptions/>
  <pageMargins left="0.7" right="0.7" top="0.787401575" bottom="0.787401575" header="0.3" footer="0.3"/>
  <pageSetup fitToHeight="1" fitToWidth="1" horizontalDpi="600" verticalDpi="600" orientation="portrait" paperSize="9" scale="55"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view="pageBreakPreview" zoomScale="60" zoomScalePageLayoutView="0" workbookViewId="0" topLeftCell="A11">
      <selection activeCell="E49" sqref="E49"/>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7" customFormat="1" ht="12.75" hidden="1">
      <c r="B1" s="157" t="s">
        <v>155</v>
      </c>
      <c r="F1" s="170">
        <v>1</v>
      </c>
    </row>
    <row r="2" s="157" customFormat="1" ht="12.75" hidden="1"/>
    <row r="3" spans="2:5" s="157" customFormat="1" ht="12.75" hidden="1">
      <c r="B3" s="157">
        <v>1</v>
      </c>
      <c r="C3" s="171">
        <v>1</v>
      </c>
      <c r="E3" s="157" t="s">
        <v>156</v>
      </c>
    </row>
    <row r="4" spans="2:5" s="157" customFormat="1" ht="12.75" hidden="1">
      <c r="B4" s="157">
        <v>2</v>
      </c>
      <c r="C4" s="171">
        <v>1</v>
      </c>
      <c r="E4" s="171">
        <f>VLOOKUP(F1,B3:C9,2)</f>
        <v>1</v>
      </c>
    </row>
    <row r="5" spans="2:3" s="157" customFormat="1" ht="12.75" hidden="1">
      <c r="B5" s="157">
        <v>3</v>
      </c>
      <c r="C5" s="171">
        <v>1</v>
      </c>
    </row>
    <row r="6" spans="2:3" s="157" customFormat="1" ht="12.75" hidden="1">
      <c r="B6" s="157">
        <v>4</v>
      </c>
      <c r="C6" s="171">
        <v>1</v>
      </c>
    </row>
    <row r="7" spans="2:3" s="157" customFormat="1" ht="12.75" hidden="1">
      <c r="B7" s="157">
        <v>5</v>
      </c>
      <c r="C7" s="171">
        <v>0.6</v>
      </c>
    </row>
    <row r="8" spans="2:3" s="157" customFormat="1" ht="12.75" hidden="1">
      <c r="B8" s="157">
        <v>6</v>
      </c>
      <c r="C8" s="171">
        <v>0.3</v>
      </c>
    </row>
    <row r="9" spans="2:3" s="157" customFormat="1" ht="12.75" hidden="1">
      <c r="B9" s="157">
        <v>7</v>
      </c>
      <c r="C9" s="171">
        <v>1</v>
      </c>
    </row>
    <row r="10" s="157" customFormat="1" ht="12.75" hidden="1"/>
    <row r="11" spans="2:19" ht="20.25">
      <c r="B11" s="321" t="s">
        <v>157</v>
      </c>
      <c r="C11" s="321"/>
      <c r="D11" s="321"/>
      <c r="E11" s="321"/>
      <c r="F11" s="321"/>
      <c r="G11" s="321"/>
      <c r="H11" s="321"/>
      <c r="I11" s="321"/>
      <c r="J11" s="321"/>
      <c r="K11" s="321"/>
      <c r="L11" s="321"/>
      <c r="M11" s="321"/>
      <c r="N11" s="172"/>
      <c r="O11" s="172"/>
      <c r="P11" s="172"/>
      <c r="Q11" s="172"/>
      <c r="R11" s="172"/>
      <c r="S11" s="172"/>
    </row>
    <row r="12" spans="2:13" ht="12.75">
      <c r="B12" s="327" t="s">
        <v>170</v>
      </c>
      <c r="C12" s="327"/>
      <c r="D12" s="327"/>
      <c r="E12" s="327"/>
      <c r="F12" s="327"/>
      <c r="G12" s="327"/>
      <c r="H12" s="327"/>
      <c r="I12" s="327"/>
      <c r="J12" s="327"/>
      <c r="K12" s="327"/>
      <c r="L12" s="327"/>
      <c r="M12" s="327"/>
    </row>
    <row r="13" ht="13.5" thickBot="1"/>
    <row r="14" spans="2:13" ht="13.5" thickTop="1">
      <c r="B14" s="173"/>
      <c r="C14" s="174"/>
      <c r="D14" s="174"/>
      <c r="E14" s="174"/>
      <c r="F14" s="174"/>
      <c r="G14" s="174"/>
      <c r="H14" s="174"/>
      <c r="I14" s="174"/>
      <c r="J14" s="174"/>
      <c r="K14" s="174"/>
      <c r="L14" s="174"/>
      <c r="M14" s="175"/>
    </row>
    <row r="15" spans="2:13" ht="36.75" customHeight="1">
      <c r="B15" s="176"/>
      <c r="C15" s="177"/>
      <c r="D15" s="177"/>
      <c r="E15" s="177"/>
      <c r="F15" s="177"/>
      <c r="G15" s="177"/>
      <c r="H15" s="177"/>
      <c r="I15" s="177"/>
      <c r="J15" s="177"/>
      <c r="K15" s="325" t="s">
        <v>158</v>
      </c>
      <c r="L15" s="325"/>
      <c r="M15" s="178"/>
    </row>
    <row r="16" spans="2:13" ht="12.75">
      <c r="B16" s="176"/>
      <c r="C16" s="177"/>
      <c r="D16" s="177"/>
      <c r="E16" s="177"/>
      <c r="F16" s="177"/>
      <c r="G16" s="177"/>
      <c r="H16" s="177"/>
      <c r="I16" s="177"/>
      <c r="J16" s="177"/>
      <c r="K16" s="177"/>
      <c r="L16" s="177"/>
      <c r="M16" s="178"/>
    </row>
    <row r="17" spans="2:13" ht="12.75">
      <c r="B17" s="176"/>
      <c r="C17" s="179" t="s">
        <v>159</v>
      </c>
      <c r="D17" s="177"/>
      <c r="E17" s="177"/>
      <c r="F17" s="177"/>
      <c r="G17" s="177"/>
      <c r="H17" s="177"/>
      <c r="I17" s="177"/>
      <c r="J17" s="177"/>
      <c r="K17" s="180">
        <v>1</v>
      </c>
      <c r="L17" s="177"/>
      <c r="M17" s="178"/>
    </row>
    <row r="18" spans="2:13" ht="12.75">
      <c r="B18" s="176"/>
      <c r="C18" s="179"/>
      <c r="D18" s="177"/>
      <c r="E18" s="177"/>
      <c r="F18" s="177"/>
      <c r="G18" s="177"/>
      <c r="H18" s="177"/>
      <c r="I18" s="177"/>
      <c r="J18" s="177"/>
      <c r="K18" s="181"/>
      <c r="L18" s="177"/>
      <c r="M18" s="178"/>
    </row>
    <row r="19" spans="2:13" ht="12.75">
      <c r="B19" s="176"/>
      <c r="C19" s="179" t="s">
        <v>160</v>
      </c>
      <c r="D19" s="177"/>
      <c r="E19" s="177"/>
      <c r="F19" s="177"/>
      <c r="G19" s="177"/>
      <c r="H19" s="177"/>
      <c r="I19" s="177"/>
      <c r="J19" s="177"/>
      <c r="K19" s="180"/>
      <c r="L19" s="177"/>
      <c r="M19" s="178"/>
    </row>
    <row r="20" spans="2:13" ht="12.75">
      <c r="B20" s="176"/>
      <c r="C20" s="177"/>
      <c r="D20" s="177"/>
      <c r="E20" s="177"/>
      <c r="F20" s="177"/>
      <c r="G20" s="177"/>
      <c r="H20" s="177"/>
      <c r="I20" s="177"/>
      <c r="J20" s="177"/>
      <c r="K20" s="181"/>
      <c r="L20" s="177"/>
      <c r="M20" s="178"/>
    </row>
    <row r="21" spans="2:13" ht="12.75">
      <c r="B21" s="176"/>
      <c r="C21" s="177"/>
      <c r="D21" s="177" t="s">
        <v>161</v>
      </c>
      <c r="E21" s="177"/>
      <c r="F21" s="177"/>
      <c r="G21" s="177"/>
      <c r="H21" s="177"/>
      <c r="I21" s="177"/>
      <c r="J21" s="177"/>
      <c r="K21" s="180">
        <v>1</v>
      </c>
      <c r="L21" s="177"/>
      <c r="M21" s="178"/>
    </row>
    <row r="22" spans="2:13" ht="12.75">
      <c r="B22" s="176"/>
      <c r="C22" s="177"/>
      <c r="D22" s="177"/>
      <c r="E22" s="177"/>
      <c r="F22" s="177"/>
      <c r="G22" s="177"/>
      <c r="H22" s="177"/>
      <c r="I22" s="177"/>
      <c r="J22" s="177"/>
      <c r="K22" s="181"/>
      <c r="L22" s="177"/>
      <c r="M22" s="178"/>
    </row>
    <row r="23" spans="2:13" ht="12.75">
      <c r="B23" s="176"/>
      <c r="C23" s="177"/>
      <c r="D23" s="177" t="s">
        <v>162</v>
      </c>
      <c r="E23" s="177"/>
      <c r="F23" s="177"/>
      <c r="G23" s="177"/>
      <c r="H23" s="177"/>
      <c r="I23" s="177"/>
      <c r="J23" s="177"/>
      <c r="K23" s="180"/>
      <c r="L23" s="177"/>
      <c r="M23" s="178"/>
    </row>
    <row r="24" spans="2:13" ht="12.75">
      <c r="B24" s="176"/>
      <c r="C24" s="177"/>
      <c r="D24" s="177"/>
      <c r="E24" s="177"/>
      <c r="F24" s="177"/>
      <c r="G24" s="177"/>
      <c r="H24" s="177"/>
      <c r="I24" s="177"/>
      <c r="J24" s="177"/>
      <c r="K24" s="181"/>
      <c r="L24" s="177"/>
      <c r="M24" s="178"/>
    </row>
    <row r="25" spans="2:13" ht="12.75">
      <c r="B25" s="176"/>
      <c r="C25" s="177"/>
      <c r="D25" s="177"/>
      <c r="E25" s="177" t="s">
        <v>163</v>
      </c>
      <c r="F25" s="177"/>
      <c r="G25" s="177"/>
      <c r="H25" s="177"/>
      <c r="I25" s="177"/>
      <c r="J25" s="177"/>
      <c r="K25" s="180"/>
      <c r="L25" s="177"/>
      <c r="M25" s="178"/>
    </row>
    <row r="26" spans="2:13" ht="12.75">
      <c r="B26" s="176"/>
      <c r="C26" s="177"/>
      <c r="D26" s="177"/>
      <c r="E26" s="177"/>
      <c r="F26" s="177"/>
      <c r="G26" s="177"/>
      <c r="H26" s="177"/>
      <c r="I26" s="177"/>
      <c r="J26" s="177"/>
      <c r="K26" s="181"/>
      <c r="L26" s="177"/>
      <c r="M26" s="178"/>
    </row>
    <row r="27" spans="2:13" ht="26.25" customHeight="1">
      <c r="B27" s="176"/>
      <c r="C27" s="177"/>
      <c r="D27" s="177"/>
      <c r="E27" s="177"/>
      <c r="F27" s="324" t="s">
        <v>171</v>
      </c>
      <c r="G27" s="324"/>
      <c r="H27" s="324"/>
      <c r="I27" s="324"/>
      <c r="J27" s="324"/>
      <c r="K27" s="180">
        <v>1</v>
      </c>
      <c r="L27" s="177"/>
      <c r="M27" s="178"/>
    </row>
    <row r="28" spans="2:13" ht="12.75">
      <c r="B28" s="176"/>
      <c r="C28" s="177"/>
      <c r="D28" s="177"/>
      <c r="E28" s="177"/>
      <c r="F28" s="177"/>
      <c r="G28" s="177"/>
      <c r="H28" s="177"/>
      <c r="I28" s="177"/>
      <c r="J28" s="177"/>
      <c r="K28" s="181"/>
      <c r="L28" s="177"/>
      <c r="M28" s="178"/>
    </row>
    <row r="29" spans="2:13" ht="12.75">
      <c r="B29" s="176"/>
      <c r="C29" s="177"/>
      <c r="D29" s="177"/>
      <c r="E29" s="177"/>
      <c r="F29" s="177"/>
      <c r="G29" s="177"/>
      <c r="H29" s="177"/>
      <c r="I29" s="177"/>
      <c r="J29" s="177"/>
      <c r="K29" s="181"/>
      <c r="L29" s="177"/>
      <c r="M29" s="178"/>
    </row>
    <row r="30" spans="2:13" ht="12.75">
      <c r="B30" s="176"/>
      <c r="C30" s="177"/>
      <c r="D30" s="177"/>
      <c r="E30" s="177"/>
      <c r="F30" s="177" t="s">
        <v>164</v>
      </c>
      <c r="G30" s="177"/>
      <c r="H30" s="177"/>
      <c r="I30" s="177"/>
      <c r="J30" s="177"/>
      <c r="K30" s="180"/>
      <c r="L30" s="177"/>
      <c r="M30" s="178"/>
    </row>
    <row r="31" spans="2:13" ht="12.75">
      <c r="B31" s="176"/>
      <c r="C31" s="177"/>
      <c r="D31" s="177"/>
      <c r="E31" s="177"/>
      <c r="F31" s="177"/>
      <c r="G31" s="177"/>
      <c r="H31" s="177"/>
      <c r="I31" s="177"/>
      <c r="J31" s="177"/>
      <c r="K31" s="181"/>
      <c r="L31" s="177"/>
      <c r="M31" s="178"/>
    </row>
    <row r="32" spans="2:13" ht="12.75">
      <c r="B32" s="176"/>
      <c r="C32" s="177"/>
      <c r="D32" s="177"/>
      <c r="E32" s="177"/>
      <c r="F32" s="177"/>
      <c r="G32" s="177" t="s">
        <v>172</v>
      </c>
      <c r="H32" s="177"/>
      <c r="I32" s="177"/>
      <c r="J32" s="177"/>
      <c r="K32" s="180">
        <v>1</v>
      </c>
      <c r="L32" s="177"/>
      <c r="M32" s="178"/>
    </row>
    <row r="33" spans="2:13" ht="12.75">
      <c r="B33" s="176"/>
      <c r="C33" s="177"/>
      <c r="D33" s="177"/>
      <c r="E33" s="177"/>
      <c r="F33" s="177"/>
      <c r="G33" s="177"/>
      <c r="H33" s="177"/>
      <c r="I33" s="177"/>
      <c r="J33" s="177"/>
      <c r="K33" s="181"/>
      <c r="L33" s="177"/>
      <c r="M33" s="178"/>
    </row>
    <row r="34" spans="2:13" ht="12.75">
      <c r="B34" s="176"/>
      <c r="C34" s="177"/>
      <c r="D34" s="177"/>
      <c r="E34" s="177"/>
      <c r="F34" s="177"/>
      <c r="G34" s="177" t="s">
        <v>165</v>
      </c>
      <c r="H34" s="177"/>
      <c r="I34" s="177"/>
      <c r="J34" s="177"/>
      <c r="K34" s="180">
        <v>0.6</v>
      </c>
      <c r="L34" s="177"/>
      <c r="M34" s="178"/>
    </row>
    <row r="35" spans="2:13" ht="12.75">
      <c r="B35" s="176"/>
      <c r="C35" s="177"/>
      <c r="D35" s="177"/>
      <c r="E35" s="177"/>
      <c r="F35" s="177"/>
      <c r="G35" s="177"/>
      <c r="H35" s="177"/>
      <c r="I35" s="177"/>
      <c r="J35" s="177"/>
      <c r="K35" s="181"/>
      <c r="L35" s="177"/>
      <c r="M35" s="178"/>
    </row>
    <row r="36" spans="2:13" ht="12.75">
      <c r="B36" s="176"/>
      <c r="C36" s="177"/>
      <c r="D36" s="177"/>
      <c r="E36" s="177"/>
      <c r="F36" s="177"/>
      <c r="G36" s="177" t="s">
        <v>166</v>
      </c>
      <c r="H36" s="177"/>
      <c r="I36" s="177"/>
      <c r="J36" s="177"/>
      <c r="K36" s="180">
        <v>0.3</v>
      </c>
      <c r="L36" s="177"/>
      <c r="M36" s="178"/>
    </row>
    <row r="37" spans="2:13" ht="12.75">
      <c r="B37" s="176"/>
      <c r="C37" s="177"/>
      <c r="D37" s="177"/>
      <c r="E37" s="177"/>
      <c r="F37" s="177"/>
      <c r="G37" s="177"/>
      <c r="H37" s="177"/>
      <c r="I37" s="177"/>
      <c r="J37" s="177"/>
      <c r="K37" s="181"/>
      <c r="L37" s="177"/>
      <c r="M37" s="178"/>
    </row>
    <row r="38" spans="2:13" ht="12.75">
      <c r="B38" s="176"/>
      <c r="C38" s="177"/>
      <c r="D38" s="177"/>
      <c r="E38" s="177" t="s">
        <v>167</v>
      </c>
      <c r="F38" s="177"/>
      <c r="G38" s="177"/>
      <c r="H38" s="177"/>
      <c r="I38" s="177"/>
      <c r="J38" s="177"/>
      <c r="K38" s="180">
        <v>1</v>
      </c>
      <c r="L38" s="177"/>
      <c r="M38" s="178"/>
    </row>
    <row r="39" spans="2:13" ht="13.5" thickBot="1">
      <c r="B39" s="182"/>
      <c r="C39" s="183"/>
      <c r="D39" s="183"/>
      <c r="E39" s="183"/>
      <c r="F39" s="183"/>
      <c r="G39" s="183"/>
      <c r="H39" s="183"/>
      <c r="I39" s="183"/>
      <c r="J39" s="183"/>
      <c r="K39" s="183"/>
      <c r="L39" s="183"/>
      <c r="M39" s="184"/>
    </row>
    <row r="40" ht="13.5" thickTop="1"/>
    <row r="41" spans="3:12" ht="47.25" customHeight="1">
      <c r="C41" s="326" t="s">
        <v>168</v>
      </c>
      <c r="D41" s="326"/>
      <c r="E41" s="326"/>
      <c r="F41" s="326"/>
      <c r="G41" s="326"/>
      <c r="H41" s="326"/>
      <c r="I41" s="326"/>
      <c r="J41" s="326"/>
      <c r="K41" s="326"/>
      <c r="L41" s="326"/>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view="pageBreakPreview" zoomScale="60" zoomScaleNormal="85" zoomScalePageLayoutView="0" workbookViewId="0" topLeftCell="A1">
      <selection activeCell="A23" sqref="A23"/>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8" t="s">
        <v>234</v>
      </c>
      <c r="C1" s="328"/>
      <c r="D1" s="328"/>
      <c r="E1" s="328"/>
      <c r="F1" s="328"/>
      <c r="G1" s="328"/>
      <c r="H1" s="328"/>
      <c r="I1" s="328"/>
      <c r="J1" s="328"/>
      <c r="K1" s="328"/>
      <c r="L1" s="328"/>
      <c r="M1" s="328"/>
      <c r="N1" s="328"/>
      <c r="O1" s="328"/>
    </row>
    <row r="2" spans="1:15" s="53" customFormat="1" ht="12.75">
      <c r="A2" s="53" t="s">
        <v>4</v>
      </c>
      <c r="B2" s="328" t="s">
        <v>235</v>
      </c>
      <c r="C2" s="328"/>
      <c r="D2" s="328"/>
      <c r="E2" s="328"/>
      <c r="F2" s="328"/>
      <c r="G2" s="328"/>
      <c r="H2" s="328"/>
      <c r="I2" s="328"/>
      <c r="J2" s="328"/>
      <c r="K2" s="328"/>
      <c r="L2" s="328"/>
      <c r="M2" s="328"/>
      <c r="N2" s="328"/>
      <c r="O2" s="328"/>
    </row>
    <row r="3" spans="1:3" s="54" customFormat="1" ht="12.75" customHeight="1" hidden="1">
      <c r="A3" s="54" t="s">
        <v>5</v>
      </c>
      <c r="B3" s="329"/>
      <c r="C3" s="329"/>
    </row>
    <row r="4" spans="2:9" s="54" customFormat="1" ht="12.75" hidden="1">
      <c r="B4" s="55"/>
      <c r="C4" s="55"/>
      <c r="E4" s="87"/>
      <c r="F4" s="94" t="s">
        <v>242</v>
      </c>
      <c r="I4" s="297">
        <f>PercentoNFP</f>
        <v>0.95</v>
      </c>
    </row>
    <row r="5" spans="1:9" s="54" customFormat="1" ht="12.75" hidden="1">
      <c r="A5" s="54" t="s">
        <v>2</v>
      </c>
      <c r="C5" s="125">
        <v>0.05</v>
      </c>
      <c r="F5" s="54" t="s">
        <v>88</v>
      </c>
      <c r="I5" s="56" t="str">
        <f>IF(KodTypuZiadatela=1,"štátny rozpočet",IF(KodTypuZiadatela&lt;5,"verejné zdroje","súkromné zdroje"))</f>
        <v>verejné zdroje</v>
      </c>
    </row>
    <row r="6" spans="1:9" s="54" customFormat="1" ht="12.75" hidden="1">
      <c r="A6" s="54" t="s">
        <v>62</v>
      </c>
      <c r="B6" s="57"/>
      <c r="C6" s="202">
        <f>NPV(C5,B41:AJ41)</f>
        <v>1522558.048962363</v>
      </c>
      <c r="F6" s="54" t="s">
        <v>189</v>
      </c>
      <c r="I6" s="56" t="str">
        <f>IF(OR(KodTypuZiadatela&gt;5,CelkoveInvVydavky&lt;=1000000),"áno","nie")</f>
        <v>nie</v>
      </c>
    </row>
    <row r="7" spans="1:9" s="54" customFormat="1" ht="12.75" hidden="1">
      <c r="A7" s="54" t="s">
        <v>1</v>
      </c>
      <c r="B7" s="57"/>
      <c r="C7" s="202">
        <f>NPV(C5,B34:AJ34)</f>
        <v>153352.01666538444</v>
      </c>
      <c r="F7" s="54" t="s">
        <v>90</v>
      </c>
      <c r="I7" s="56" t="str">
        <f>IF(KodTypuZiadatela&gt;5,"áno","nie")</f>
        <v>nie</v>
      </c>
    </row>
    <row r="8" spans="1:3" s="54" customFormat="1" ht="12.75" hidden="1">
      <c r="A8" s="54" t="s">
        <v>52</v>
      </c>
      <c r="C8" s="185">
        <f>MAX(MIN(IF(C6=0,0,(C6-C7)/C6),1),0)*'Typ prevádzky'!E4</f>
        <v>0.8992800197208276</v>
      </c>
    </row>
    <row r="9" s="54" customFormat="1" ht="12.75" hidden="1"/>
    <row r="10" spans="1:4" s="310" customFormat="1" ht="12.75" hidden="1">
      <c r="A10" s="310" t="s">
        <v>106</v>
      </c>
      <c r="C10" s="311">
        <f>IF(I6="áno",IF(StatnaPomoc="áno",IF(C8&gt;0,I4,0),I4),I4*C8)</f>
        <v>0.8543160187347861</v>
      </c>
      <c r="D10" s="312"/>
    </row>
    <row r="11" spans="4:6" ht="12.75">
      <c r="D11" s="59"/>
      <c r="F11" s="59"/>
    </row>
    <row r="12" spans="1:6" ht="12.75">
      <c r="A12" s="60" t="s">
        <v>174</v>
      </c>
      <c r="D12" s="59"/>
      <c r="F12" s="59"/>
    </row>
    <row r="13" spans="1:6" ht="12.75">
      <c r="A13" s="61"/>
      <c r="B13" s="62"/>
      <c r="D13" s="59"/>
      <c r="F13" s="59"/>
    </row>
    <row r="14" spans="1:36" s="65" customFormat="1" ht="12.75">
      <c r="A14" s="63" t="s">
        <v>28</v>
      </c>
      <c r="B14" s="145">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198">
        <f aca="true" t="shared" si="1" ref="B16:I16">B21+B22-B17</f>
        <v>168765.7082562633</v>
      </c>
      <c r="C16" s="198">
        <f t="shared" si="1"/>
        <v>111091.3252230119</v>
      </c>
      <c r="D16" s="198">
        <f t="shared" si="1"/>
        <v>45262.15478420124</v>
      </c>
      <c r="E16" s="198">
        <f t="shared" si="1"/>
        <v>0</v>
      </c>
      <c r="F16" s="198">
        <f t="shared" si="1"/>
        <v>0</v>
      </c>
      <c r="G16" s="198">
        <f t="shared" si="1"/>
        <v>0</v>
      </c>
      <c r="H16" s="198">
        <f t="shared" si="1"/>
        <v>0</v>
      </c>
      <c r="I16" s="198">
        <f t="shared" si="1"/>
        <v>0</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9"/>
    </row>
    <row r="17" spans="1:36" ht="12.75">
      <c r="A17" s="68" t="s">
        <v>51</v>
      </c>
      <c r="B17" s="198">
        <f aca="true" t="shared" si="2" ref="B17:I17">B21*$C$10</f>
        <v>570859.8277437368</v>
      </c>
      <c r="C17" s="198">
        <f t="shared" si="2"/>
        <v>550491.6371685022</v>
      </c>
      <c r="D17" s="198">
        <f t="shared" si="2"/>
        <v>265425.0902451795</v>
      </c>
      <c r="E17" s="198">
        <f t="shared" si="2"/>
        <v>0</v>
      </c>
      <c r="F17" s="198">
        <f t="shared" si="2"/>
        <v>0</v>
      </c>
      <c r="G17" s="198">
        <f t="shared" si="2"/>
        <v>0</v>
      </c>
      <c r="H17" s="198">
        <f t="shared" si="2"/>
        <v>0</v>
      </c>
      <c r="I17" s="198">
        <f t="shared" si="2"/>
        <v>0</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2.75">
      <c r="A18" s="68" t="s">
        <v>91</v>
      </c>
      <c r="B18" s="198">
        <f>'Príjmy z prevádzky'!D37</f>
        <v>0</v>
      </c>
      <c r="C18" s="198">
        <f>'Príjmy z prevádzky'!E37</f>
        <v>0</v>
      </c>
      <c r="D18" s="198">
        <f>'Príjmy z prevádzky'!F37</f>
        <v>15835.0432474584</v>
      </c>
      <c r="E18" s="198">
        <f>'Príjmy z prevádzky'!G37</f>
        <v>30178.162386876134</v>
      </c>
      <c r="F18" s="198">
        <f>'Príjmy z prevádzky'!H37</f>
        <v>31452.11935821867</v>
      </c>
      <c r="G18" s="198">
        <f>'Príjmy z prevádzky'!I37</f>
        <v>32351.31383519613</v>
      </c>
      <c r="H18" s="198">
        <f>'Príjmy z prevádzky'!J37</f>
        <v>32473.847890536912</v>
      </c>
      <c r="I18" s="198">
        <f>'Príjmy z prevádzky'!K37</f>
        <v>32504.60393842745</v>
      </c>
      <c r="J18" s="198">
        <f>'Príjmy z prevádzky'!L37</f>
        <v>32504.60393842745</v>
      </c>
      <c r="K18" s="198">
        <f>'Príjmy z prevádzky'!M37</f>
        <v>32504.60393842745</v>
      </c>
      <c r="L18" s="198">
        <f>'Príjmy z prevádzky'!N37</f>
        <v>32504.60393842745</v>
      </c>
      <c r="M18" s="198">
        <f>'Príjmy z prevádzky'!O37</f>
        <v>32504.60393842745</v>
      </c>
      <c r="N18" s="198">
        <f>'Príjmy z prevádzky'!P37</f>
        <v>32504.60393842745</v>
      </c>
      <c r="O18" s="198">
        <f>'Príjmy z prevádzky'!Q37</f>
        <v>32504.60393842745</v>
      </c>
      <c r="P18" s="198">
        <f>'Príjmy z prevádzky'!R37</f>
        <v>32504.60393842745</v>
      </c>
      <c r="Q18" s="198">
        <f>'Príjmy z prevádzky'!S37</f>
        <v>32504.60393842745</v>
      </c>
      <c r="R18" s="198">
        <f>'Príjmy z prevádzky'!T37</f>
        <v>32504.60393842745</v>
      </c>
      <c r="S18" s="198">
        <f>'Príjmy z prevádzky'!U37</f>
        <v>32504.60393842745</v>
      </c>
      <c r="T18" s="198">
        <f>'Príjmy z prevádzky'!V37</f>
        <v>32504.60393842745</v>
      </c>
      <c r="U18" s="198">
        <f>'Príjmy z prevádzky'!W37</f>
        <v>32504.60393842745</v>
      </c>
      <c r="V18" s="198">
        <f>'Príjmy z prevádzky'!X37</f>
        <v>32504.60393842745</v>
      </c>
      <c r="W18" s="198">
        <f>'Príjmy z prevádzky'!Y37</f>
        <v>32504.60393842745</v>
      </c>
      <c r="X18" s="198">
        <f>'Príjmy z prevádzky'!Z37</f>
        <v>32504.60393842745</v>
      </c>
      <c r="Y18" s="198">
        <f>'Príjmy z prevádzky'!AA37</f>
        <v>32504.60393842745</v>
      </c>
      <c r="Z18" s="198">
        <f>'Príjmy z prevádzky'!AB37</f>
        <v>32504.60393842745</v>
      </c>
      <c r="AA18" s="198">
        <f>'Príjmy z prevádzky'!AC37</f>
        <v>32504.60393842745</v>
      </c>
      <c r="AB18" s="198">
        <f>'Príjmy z prevádzky'!AD37</f>
        <v>32504.60393842745</v>
      </c>
      <c r="AC18" s="198">
        <f>'Príjmy z prevádzky'!AE37</f>
        <v>32504.60393842745</v>
      </c>
      <c r="AD18" s="198">
        <f>'Príjmy z prevádzky'!AF37</f>
        <v>32504.60393842745</v>
      </c>
      <c r="AE18" s="198">
        <f>'Príjmy z prevádzky'!AG37</f>
        <v>32504.60393842745</v>
      </c>
      <c r="AF18" s="198">
        <f>'Príjmy z prevádzky'!AH37</f>
        <v>32504.60393842745</v>
      </c>
      <c r="AG18" s="198">
        <f>'Príjmy z prevádzky'!AI37</f>
        <v>32504.60393842745</v>
      </c>
      <c r="AH18" s="198">
        <f>'Príjmy z prevádzky'!AJ37</f>
        <v>0</v>
      </c>
      <c r="AI18" s="198">
        <f>'Príjmy z prevádzky'!AK37</f>
        <v>0</v>
      </c>
      <c r="AJ18" s="198">
        <f>'Príjmy z prevádzky'!AL37</f>
        <v>0</v>
      </c>
    </row>
    <row r="19" spans="1:36" ht="12.75">
      <c r="A19" s="69" t="s">
        <v>9</v>
      </c>
      <c r="B19" s="198">
        <f aca="true" t="shared" si="3" ref="B19:AJ19">SUM(B16:B18)</f>
        <v>739625.5360000001</v>
      </c>
      <c r="C19" s="198">
        <f t="shared" si="3"/>
        <v>661582.9623915141</v>
      </c>
      <c r="D19" s="198">
        <f t="shared" si="3"/>
        <v>326522.2882768391</v>
      </c>
      <c r="E19" s="198">
        <f t="shared" si="3"/>
        <v>30178.162386876134</v>
      </c>
      <c r="F19" s="198">
        <f t="shared" si="3"/>
        <v>31452.11935821867</v>
      </c>
      <c r="G19" s="198">
        <f t="shared" si="3"/>
        <v>32351.31383519613</v>
      </c>
      <c r="H19" s="198">
        <f t="shared" si="3"/>
        <v>32473.847890536912</v>
      </c>
      <c r="I19" s="198">
        <f t="shared" si="3"/>
        <v>32504.60393842745</v>
      </c>
      <c r="J19" s="198">
        <f t="shared" si="3"/>
        <v>32504.60393842745</v>
      </c>
      <c r="K19" s="198">
        <f t="shared" si="3"/>
        <v>32504.60393842745</v>
      </c>
      <c r="L19" s="198">
        <f t="shared" si="3"/>
        <v>32504.60393842745</v>
      </c>
      <c r="M19" s="198">
        <f t="shared" si="3"/>
        <v>32504.60393842745</v>
      </c>
      <c r="N19" s="198">
        <f t="shared" si="3"/>
        <v>32504.60393842745</v>
      </c>
      <c r="O19" s="198">
        <f t="shared" si="3"/>
        <v>32504.60393842745</v>
      </c>
      <c r="P19" s="198">
        <f t="shared" si="3"/>
        <v>32504.60393842745</v>
      </c>
      <c r="Q19" s="198">
        <f t="shared" si="3"/>
        <v>32504.60393842745</v>
      </c>
      <c r="R19" s="198">
        <f t="shared" si="3"/>
        <v>32504.60393842745</v>
      </c>
      <c r="S19" s="198">
        <f t="shared" si="3"/>
        <v>32504.60393842745</v>
      </c>
      <c r="T19" s="198">
        <f t="shared" si="3"/>
        <v>32504.60393842745</v>
      </c>
      <c r="U19" s="198">
        <f t="shared" si="3"/>
        <v>32504.60393842745</v>
      </c>
      <c r="V19" s="198">
        <f t="shared" si="3"/>
        <v>32504.60393842745</v>
      </c>
      <c r="W19" s="198">
        <f t="shared" si="3"/>
        <v>32504.60393842745</v>
      </c>
      <c r="X19" s="198">
        <f t="shared" si="3"/>
        <v>32504.60393842745</v>
      </c>
      <c r="Y19" s="198">
        <f t="shared" si="3"/>
        <v>32504.60393842745</v>
      </c>
      <c r="Z19" s="198">
        <f t="shared" si="3"/>
        <v>32504.60393842745</v>
      </c>
      <c r="AA19" s="198">
        <f t="shared" si="3"/>
        <v>32504.60393842745</v>
      </c>
      <c r="AB19" s="198">
        <f t="shared" si="3"/>
        <v>32504.60393842745</v>
      </c>
      <c r="AC19" s="198">
        <f t="shared" si="3"/>
        <v>32504.60393842745</v>
      </c>
      <c r="AD19" s="198">
        <f t="shared" si="3"/>
        <v>32504.60393842745</v>
      </c>
      <c r="AE19" s="198">
        <f t="shared" si="3"/>
        <v>32504.60393842745</v>
      </c>
      <c r="AF19" s="198">
        <f t="shared" si="3"/>
        <v>32504.60393842745</v>
      </c>
      <c r="AG19" s="198">
        <f t="shared" si="3"/>
        <v>32504.60393842745</v>
      </c>
      <c r="AH19" s="198">
        <f t="shared" si="3"/>
        <v>0</v>
      </c>
      <c r="AI19" s="198">
        <f t="shared" si="3"/>
        <v>0</v>
      </c>
      <c r="AJ19" s="198">
        <f t="shared" si="3"/>
        <v>0</v>
      </c>
    </row>
    <row r="20" spans="1:36" ht="12.75" customHeight="1">
      <c r="A20" s="69"/>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12.75">
      <c r="A21" s="68" t="s">
        <v>103</v>
      </c>
      <c r="B21" s="198">
        <f>'Investičné výdavky'!C95</f>
        <v>668206.8640000001</v>
      </c>
      <c r="C21" s="198">
        <f>'Investičné výdavky'!C96</f>
        <v>644365.3461909355</v>
      </c>
      <c r="D21" s="198">
        <f>'Investičné výdavky'!C97</f>
        <v>310687.2450293807</v>
      </c>
      <c r="E21" s="198">
        <f>'Investičné výdavky'!C98</f>
        <v>0</v>
      </c>
      <c r="F21" s="198">
        <f>'Investičné výdavky'!C99</f>
        <v>0</v>
      </c>
      <c r="G21" s="198">
        <f>'Investičné výdavky'!C100</f>
        <v>0</v>
      </c>
      <c r="H21" s="198">
        <f>'Investičné výdavky'!C101</f>
        <v>0</v>
      </c>
      <c r="I21" s="198">
        <f>'Investičné výdavky'!C102</f>
        <v>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row>
    <row r="22" spans="1:36" ht="12.75">
      <c r="A22" s="68" t="s">
        <v>61</v>
      </c>
      <c r="B22" s="198">
        <f>'Investičné výdavky'!D95</f>
        <v>71418.672</v>
      </c>
      <c r="C22" s="198">
        <f>'Investičné výdavky'!D96</f>
        <v>17217.616200578595</v>
      </c>
      <c r="D22" s="198">
        <f>'Investičné výdavky'!D97</f>
        <v>0</v>
      </c>
      <c r="E22" s="198">
        <f>'Investičné výdavky'!D98</f>
        <v>0</v>
      </c>
      <c r="F22" s="198">
        <f>'Investičné výdavky'!D99</f>
        <v>0</v>
      </c>
      <c r="G22" s="198">
        <f>'Investičné výdavky'!D100</f>
        <v>0</v>
      </c>
      <c r="H22" s="198">
        <f>'Investičné výdavky'!D101</f>
        <v>0</v>
      </c>
      <c r="I22" s="198">
        <f>'Investičné výdavky'!D102</f>
        <v>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row>
    <row r="23" spans="1:36" ht="12.75">
      <c r="A23" s="68" t="s">
        <v>13</v>
      </c>
      <c r="B23" s="198"/>
      <c r="C23" s="200">
        <v>0</v>
      </c>
      <c r="D23" s="200">
        <v>0</v>
      </c>
      <c r="E23" s="200">
        <v>0</v>
      </c>
      <c r="F23" s="200">
        <v>0</v>
      </c>
      <c r="G23" s="200">
        <v>0</v>
      </c>
      <c r="H23" s="200">
        <v>0</v>
      </c>
      <c r="I23" s="200">
        <v>0</v>
      </c>
      <c r="J23" s="200">
        <v>0</v>
      </c>
      <c r="K23" s="200">
        <v>0</v>
      </c>
      <c r="L23" s="200">
        <v>0</v>
      </c>
      <c r="M23" s="200">
        <v>0</v>
      </c>
      <c r="N23" s="200">
        <v>0</v>
      </c>
      <c r="O23" s="200">
        <v>0</v>
      </c>
      <c r="P23" s="200">
        <v>0</v>
      </c>
      <c r="Q23" s="200">
        <v>0</v>
      </c>
      <c r="R23" s="200">
        <v>49790.88</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row>
    <row r="24" spans="1:36" ht="12.75" customHeight="1">
      <c r="A24" s="68" t="s">
        <v>92</v>
      </c>
      <c r="B24" s="198">
        <f>'Výdavky na prevádzku'!D80</f>
        <v>0</v>
      </c>
      <c r="C24" s="198">
        <f>'Výdavky na prevádzku'!E80</f>
        <v>0</v>
      </c>
      <c r="D24" s="198">
        <f>'Výdavky na prevádzku'!F80</f>
        <v>16648.263739043825</v>
      </c>
      <c r="E24" s="198">
        <f>'Výdavky na prevádzku'!G80</f>
        <v>18706.60018565598</v>
      </c>
      <c r="F24" s="198">
        <f>'Výdavky na prevádzku'!H80</f>
        <v>18776.229482571354</v>
      </c>
      <c r="G24" s="198">
        <f>'Výdavky na prevádzku'!I80</f>
        <v>18825.375788632336</v>
      </c>
      <c r="H24" s="198">
        <f>'Výdavky na prevádzku'!J80</f>
        <v>18832.07300079373</v>
      </c>
      <c r="I24" s="198">
        <f>'Výdavky na prevádzku'!K80</f>
        <v>18900.144001046243</v>
      </c>
      <c r="J24" s="198">
        <f>'Výdavky na prevádzku'!L80</f>
        <v>18900.144001046243</v>
      </c>
      <c r="K24" s="198">
        <f>'Výdavky na prevádzku'!M80</f>
        <v>18900.144001046243</v>
      </c>
      <c r="L24" s="198">
        <f>'Výdavky na prevádzku'!N80</f>
        <v>18900.144001046243</v>
      </c>
      <c r="M24" s="198">
        <f>'Výdavky na prevádzku'!O80</f>
        <v>18900.144001046243</v>
      </c>
      <c r="N24" s="198">
        <f>'Výdavky na prevádzku'!P80</f>
        <v>18999.72400104624</v>
      </c>
      <c r="O24" s="198">
        <f>'Výdavky na prevádzku'!Q80</f>
        <v>18999.72400104624</v>
      </c>
      <c r="P24" s="198">
        <f>'Výdavky na prevádzku'!R80</f>
        <v>18999.72400104624</v>
      </c>
      <c r="Q24" s="198">
        <f>'Výdavky na prevádzku'!S80</f>
        <v>18999.72400104624</v>
      </c>
      <c r="R24" s="198">
        <f>'Výdavky na prevádzku'!T80</f>
        <v>18999.72400104624</v>
      </c>
      <c r="S24" s="198">
        <f>'Výdavky na prevádzku'!U80</f>
        <v>18999.72400104624</v>
      </c>
      <c r="T24" s="198">
        <f>'Výdavky na prevádzku'!V80</f>
        <v>18999.72400104624</v>
      </c>
      <c r="U24" s="198">
        <f>'Výdavky na prevádzku'!W80</f>
        <v>18999.72400104624</v>
      </c>
      <c r="V24" s="198">
        <f>'Výdavky na prevádzku'!X80</f>
        <v>18999.72400104624</v>
      </c>
      <c r="W24" s="198">
        <f>'Výdavky na prevádzku'!Y80</f>
        <v>18999.72400104624</v>
      </c>
      <c r="X24" s="198">
        <f>'Výdavky na prevádzku'!Z80</f>
        <v>18999.72400104624</v>
      </c>
      <c r="Y24" s="198">
        <f>'Výdavky na prevádzku'!AA80</f>
        <v>18999.72400104624</v>
      </c>
      <c r="Z24" s="198">
        <f>'Výdavky na prevádzku'!AB80</f>
        <v>18999.72400104624</v>
      </c>
      <c r="AA24" s="198">
        <f>'Výdavky na prevádzku'!AC80</f>
        <v>18999.72400104624</v>
      </c>
      <c r="AB24" s="198">
        <f>'Výdavky na prevádzku'!AD80</f>
        <v>18999.72400104624</v>
      </c>
      <c r="AC24" s="198">
        <f>'Výdavky na prevádzku'!AE80</f>
        <v>18999.72400104624</v>
      </c>
      <c r="AD24" s="198">
        <f>'Výdavky na prevádzku'!AF80</f>
        <v>18999.72400104624</v>
      </c>
      <c r="AE24" s="198">
        <f>'Výdavky na prevádzku'!AG80</f>
        <v>18999.72400104624</v>
      </c>
      <c r="AF24" s="198">
        <f>'Výdavky na prevádzku'!AH80</f>
        <v>18999.72400104624</v>
      </c>
      <c r="AG24" s="198">
        <f>'Výdavky na prevádzku'!AI80</f>
        <v>18999.72400104624</v>
      </c>
      <c r="AH24" s="198">
        <f>'Výdavky na prevádzku'!AJ80</f>
        <v>0</v>
      </c>
      <c r="AI24" s="198">
        <f>'Výdavky na prevádzku'!AK80</f>
        <v>0</v>
      </c>
      <c r="AJ24" s="198">
        <f>'Výdavky na prevádzku'!AL80</f>
        <v>0</v>
      </c>
    </row>
    <row r="25" spans="1:36" ht="12.75">
      <c r="A25" s="68" t="s">
        <v>53</v>
      </c>
      <c r="B25" s="198">
        <f>IF(Úver!B11=0,Úver!B13,Úver!B11)</f>
        <v>0</v>
      </c>
      <c r="C25" s="198">
        <f>IF(Úver!C11=0,Úver!C13,Úver!C11)</f>
        <v>0</v>
      </c>
      <c r="D25" s="198">
        <f>IF(Úver!D11=0,Úver!D13,Úver!D11)</f>
        <v>0</v>
      </c>
      <c r="E25" s="198">
        <f>IF(Úver!E11=0,Úver!E13,Úver!E11)</f>
        <v>0</v>
      </c>
      <c r="F25" s="198">
        <f>IF(Úver!F11=0,Úver!F13,Úver!F11)</f>
        <v>6640</v>
      </c>
      <c r="G25" s="198">
        <f>IF(Úver!G11=0,Úver!G13,Úver!G11)</f>
        <v>6640</v>
      </c>
      <c r="H25" s="198">
        <f>IF(Úver!H11=0,Úver!H13,Úver!H11)</f>
        <v>6640</v>
      </c>
      <c r="I25" s="198">
        <f>IF(Úver!I11=0,Úver!I13,Úver!I11)</f>
        <v>6640</v>
      </c>
      <c r="J25" s="198">
        <f>IF(Úver!J11=0,Úver!J13,Úver!J11)</f>
        <v>6640</v>
      </c>
      <c r="K25" s="198">
        <f>IF(Úver!K11=0,Úver!K13,Úver!K11)</f>
        <v>6640</v>
      </c>
      <c r="L25" s="198">
        <f>IF(Úver!L11=0,Úver!L13,Úver!L11)</f>
        <v>6640</v>
      </c>
      <c r="M25" s="198">
        <f>IF(Úver!M11=0,Úver!M13,Úver!M11)</f>
        <v>6640</v>
      </c>
      <c r="N25" s="198">
        <f>IF(Úver!N11=0,Úver!N13,Úver!N11)</f>
        <v>6640</v>
      </c>
      <c r="O25" s="198">
        <f>IF(Úver!O11=0,Úver!O13,Úver!O11)</f>
        <v>6640</v>
      </c>
      <c r="P25" s="198">
        <f>IF(Úver!P11=0,Úver!P13,Úver!P11)</f>
        <v>0</v>
      </c>
      <c r="Q25" s="198">
        <f>IF(Úver!Q11=0,Úver!Q13,Úver!Q11)</f>
        <v>0</v>
      </c>
      <c r="R25" s="198">
        <f>IF(Úver!R11=0,Úver!R13,Úver!R11)</f>
        <v>0</v>
      </c>
      <c r="S25" s="198">
        <f>IF(Úver!S11=0,Úver!S13,Úver!S11)</f>
        <v>0</v>
      </c>
      <c r="T25" s="198">
        <f>IF(Úver!T11=0,Úver!T13,Úver!T11)</f>
        <v>0</v>
      </c>
      <c r="U25" s="198">
        <f>IF(Úver!U11=0,Úver!U13,Úver!U11)</f>
        <v>0</v>
      </c>
      <c r="V25" s="198">
        <f>IF(Úver!V11=0,Úver!V13,Úver!V11)</f>
        <v>0</v>
      </c>
      <c r="W25" s="198">
        <f>IF(Úver!W11=0,Úver!W13,Úver!W11)</f>
        <v>0</v>
      </c>
      <c r="X25" s="198">
        <f>IF(Úver!X11=0,Úver!X13,Úver!X11)</f>
        <v>0</v>
      </c>
      <c r="Y25" s="198">
        <f>IF(Úver!Y11=0,Úver!Y13,Úver!Y11)</f>
        <v>0</v>
      </c>
      <c r="Z25" s="198">
        <f>IF(Úver!Z11=0,Úver!Z13,Úver!Z11)</f>
        <v>0</v>
      </c>
      <c r="AA25" s="198">
        <f>IF(Úver!AA11=0,Úver!AA13,Úver!AA11)</f>
        <v>0</v>
      </c>
      <c r="AB25" s="198">
        <f>IF(Úver!AB11=0,Úver!AB13,Úver!AB11)</f>
        <v>0</v>
      </c>
      <c r="AC25" s="198">
        <f>IF(Úver!AC11=0,Úver!AC13,Úver!AC11)</f>
        <v>0</v>
      </c>
      <c r="AD25" s="198">
        <f>IF(Úver!AD11=0,Úver!AD13,Úver!AD11)</f>
        <v>0</v>
      </c>
      <c r="AE25" s="198">
        <f>IF(Úver!AE11=0,Úver!AE13,Úver!AE11)</f>
        <v>0</v>
      </c>
      <c r="AF25" s="198">
        <f>IF(Úver!AF11=0,Úver!AF13,Úver!AF11)</f>
        <v>0</v>
      </c>
      <c r="AG25" s="198">
        <f>IF(Úver!AG11=0,Úver!AG13,Úver!AG11)</f>
        <v>0</v>
      </c>
      <c r="AH25" s="198">
        <f>IF(Úver!AH11=0,Úver!AH13,Úver!AH11)</f>
        <v>0</v>
      </c>
      <c r="AI25" s="198">
        <f>IF(Úver!AI11=0,Úver!AI13,Úver!AI11)</f>
        <v>0</v>
      </c>
      <c r="AJ25" s="198">
        <f>IF(Úver!AJ11=0,Úver!AJ13,Úver!AJ11)</f>
        <v>0</v>
      </c>
    </row>
    <row r="26" spans="1:36" ht="12.75">
      <c r="A26" s="68" t="s">
        <v>54</v>
      </c>
      <c r="B26" s="198">
        <f>Úver!B12</f>
        <v>0</v>
      </c>
      <c r="C26" s="198">
        <f>Úver!C12</f>
        <v>0</v>
      </c>
      <c r="D26" s="198">
        <f>Úver!D12</f>
        <v>0</v>
      </c>
      <c r="E26" s="198">
        <f>Úver!E12</f>
        <v>0</v>
      </c>
      <c r="F26" s="198">
        <f>Úver!F12</f>
        <v>4647.15</v>
      </c>
      <c r="G26" s="198">
        <f>Úver!G12</f>
        <v>4647.15</v>
      </c>
      <c r="H26" s="198">
        <f>Úver!H12</f>
        <v>4647.15</v>
      </c>
      <c r="I26" s="198">
        <f>Úver!I12</f>
        <v>4647.15</v>
      </c>
      <c r="J26" s="198">
        <f>Úver!J12</f>
        <v>4647.15</v>
      </c>
      <c r="K26" s="198">
        <f>Úver!K12</f>
        <v>4647.15</v>
      </c>
      <c r="L26" s="198">
        <f>Úver!L12</f>
        <v>4647.15</v>
      </c>
      <c r="M26" s="198">
        <f>Úver!M12</f>
        <v>4647.15</v>
      </c>
      <c r="N26" s="198">
        <f>Úver!N12</f>
        <v>4647.15</v>
      </c>
      <c r="O26" s="198">
        <f>Úver!O12</f>
        <v>4647.15</v>
      </c>
      <c r="P26" s="198">
        <f>Úver!P12</f>
        <v>0</v>
      </c>
      <c r="Q26" s="198">
        <f>Úver!Q12</f>
        <v>0</v>
      </c>
      <c r="R26" s="198">
        <f>Úver!R12</f>
        <v>0</v>
      </c>
      <c r="S26" s="198">
        <f>Úver!S12</f>
        <v>0</v>
      </c>
      <c r="T26" s="198">
        <f>Úver!T12</f>
        <v>0</v>
      </c>
      <c r="U26" s="198">
        <f>Úver!U12</f>
        <v>0</v>
      </c>
      <c r="V26" s="198">
        <f>Úver!V12</f>
        <v>0</v>
      </c>
      <c r="W26" s="198">
        <f>Úver!W12</f>
        <v>0</v>
      </c>
      <c r="X26" s="198">
        <f>Úver!X12</f>
        <v>0</v>
      </c>
      <c r="Y26" s="198">
        <f>Úver!Y12</f>
        <v>0</v>
      </c>
      <c r="Z26" s="198">
        <f>Úver!Z12</f>
        <v>0</v>
      </c>
      <c r="AA26" s="198">
        <f>Úver!AA12</f>
        <v>0</v>
      </c>
      <c r="AB26" s="198">
        <f>Úver!AB12</f>
        <v>0</v>
      </c>
      <c r="AC26" s="198">
        <f>Úver!AC12</f>
        <v>0</v>
      </c>
      <c r="AD26" s="198">
        <f>Úver!AD12</f>
        <v>0</v>
      </c>
      <c r="AE26" s="198">
        <f>Úver!AE12</f>
        <v>0</v>
      </c>
      <c r="AF26" s="198">
        <f>Úver!AF12</f>
        <v>0</v>
      </c>
      <c r="AG26" s="198">
        <f>Úver!AG12</f>
        <v>0</v>
      </c>
      <c r="AH26" s="198">
        <f>Úver!AH12</f>
        <v>0</v>
      </c>
      <c r="AI26" s="198">
        <f>Úver!AI12</f>
        <v>0</v>
      </c>
      <c r="AJ26" s="198">
        <f>Úver!AJ12</f>
        <v>0</v>
      </c>
    </row>
    <row r="27" spans="1:36" ht="12.75">
      <c r="A27" s="68" t="s">
        <v>10</v>
      </c>
      <c r="B27" s="198">
        <v>0</v>
      </c>
      <c r="C27" s="198">
        <f aca="true" t="shared" si="4" ref="C27:AJ27">IF(B28&gt;0,B28,0)</f>
        <v>0</v>
      </c>
      <c r="D27" s="198">
        <f t="shared" si="4"/>
        <v>0</v>
      </c>
      <c r="E27" s="198">
        <f t="shared" si="4"/>
        <v>0</v>
      </c>
      <c r="F27" s="198">
        <f t="shared" si="4"/>
        <v>0</v>
      </c>
      <c r="G27" s="198">
        <f t="shared" si="4"/>
        <v>0</v>
      </c>
      <c r="H27" s="198">
        <f t="shared" si="4"/>
        <v>0</v>
      </c>
      <c r="I27" s="198">
        <f t="shared" si="4"/>
        <v>0</v>
      </c>
      <c r="J27" s="198">
        <f t="shared" si="4"/>
        <v>0</v>
      </c>
      <c r="K27" s="198">
        <f t="shared" si="4"/>
        <v>0</v>
      </c>
      <c r="L27" s="198">
        <f t="shared" si="4"/>
        <v>0</v>
      </c>
      <c r="M27" s="198">
        <f t="shared" si="4"/>
        <v>0</v>
      </c>
      <c r="N27" s="198">
        <f t="shared" si="4"/>
        <v>0</v>
      </c>
      <c r="O27" s="198">
        <f t="shared" si="4"/>
        <v>0</v>
      </c>
      <c r="P27" s="198">
        <f t="shared" si="4"/>
        <v>421.04736534915037</v>
      </c>
      <c r="Q27" s="198">
        <f t="shared" si="4"/>
        <v>1304.0058653491503</v>
      </c>
      <c r="R27" s="198">
        <f t="shared" si="4"/>
        <v>1146.1077967990561</v>
      </c>
      <c r="S27" s="198">
        <f t="shared" si="4"/>
        <v>1146.1077967990561</v>
      </c>
      <c r="T27" s="198">
        <f t="shared" si="4"/>
        <v>1146.1077967990561</v>
      </c>
      <c r="U27" s="198">
        <f t="shared" si="4"/>
        <v>1146.1077967990561</v>
      </c>
      <c r="V27" s="198">
        <f t="shared" si="4"/>
        <v>1146.1077967990561</v>
      </c>
      <c r="W27" s="198">
        <f t="shared" si="4"/>
        <v>1146.1077967990561</v>
      </c>
      <c r="X27" s="198">
        <f t="shared" si="4"/>
        <v>2125.075783754943</v>
      </c>
      <c r="Y27" s="198">
        <f t="shared" si="4"/>
        <v>2408.029119552336</v>
      </c>
      <c r="Z27" s="198">
        <f t="shared" si="4"/>
        <v>2408.029119552336</v>
      </c>
      <c r="AA27" s="198">
        <f t="shared" si="4"/>
        <v>2408.029119552336</v>
      </c>
      <c r="AB27" s="198">
        <f t="shared" si="4"/>
        <v>2408.029119552336</v>
      </c>
      <c r="AC27" s="198">
        <f t="shared" si="4"/>
        <v>2408.029119552336</v>
      </c>
      <c r="AD27" s="198">
        <f t="shared" si="4"/>
        <v>2565.92718810243</v>
      </c>
      <c r="AE27" s="198">
        <f t="shared" si="4"/>
        <v>2565.92718810243</v>
      </c>
      <c r="AF27" s="198">
        <f t="shared" si="4"/>
        <v>2565.92718810243</v>
      </c>
      <c r="AG27" s="198">
        <f t="shared" si="4"/>
        <v>2565.92718810243</v>
      </c>
      <c r="AH27" s="198">
        <f t="shared" si="4"/>
        <v>2565.92718810243</v>
      </c>
      <c r="AI27" s="198">
        <f t="shared" si="4"/>
        <v>0</v>
      </c>
      <c r="AJ27" s="198">
        <f t="shared" si="4"/>
        <v>0</v>
      </c>
    </row>
    <row r="28" spans="1:36" s="54" customFormat="1" ht="12.75" hidden="1">
      <c r="A28" s="70" t="s">
        <v>121</v>
      </c>
      <c r="B28" s="201">
        <f aca="true" t="shared" si="5" ref="B28:AJ28">(B18-B24-B26-B44*(IF(SUM($B21:$I21)&gt;0,SUM($B16:$I16)/SUM($B21:$I21),0)))*0.19</f>
        <v>0</v>
      </c>
      <c r="C28" s="201">
        <f t="shared" si="5"/>
        <v>-4374.686475423164</v>
      </c>
      <c r="D28" s="201">
        <f t="shared" si="5"/>
        <v>-4812.151704621788</v>
      </c>
      <c r="E28" s="201">
        <f t="shared" si="5"/>
        <v>-2478.042992988728</v>
      </c>
      <c r="F28" s="201">
        <f t="shared" si="5"/>
        <v>-3132.1792348475665</v>
      </c>
      <c r="G28" s="201">
        <f t="shared" si="5"/>
        <v>-2970.670082373436</v>
      </c>
      <c r="H28" s="201">
        <f t="shared" si="5"/>
        <v>-2948.6610821693525</v>
      </c>
      <c r="I28" s="201">
        <f t="shared" si="5"/>
        <v>-2572.0327342738774</v>
      </c>
      <c r="J28" s="201">
        <f t="shared" si="5"/>
        <v>-2572.0327342738774</v>
      </c>
      <c r="K28" s="201">
        <f t="shared" si="5"/>
        <v>-2572.0327342738774</v>
      </c>
      <c r="L28" s="201">
        <f t="shared" si="5"/>
        <v>-2572.0327342738774</v>
      </c>
      <c r="M28" s="201">
        <f t="shared" si="5"/>
        <v>-2572.0327342738774</v>
      </c>
      <c r="N28" s="201">
        <f t="shared" si="5"/>
        <v>-2590.952934273877</v>
      </c>
      <c r="O28" s="201">
        <f t="shared" si="5"/>
        <v>421.04736534915037</v>
      </c>
      <c r="P28" s="201">
        <f t="shared" si="5"/>
        <v>1304.0058653491503</v>
      </c>
      <c r="Q28" s="201">
        <f t="shared" si="5"/>
        <v>1146.1077967990561</v>
      </c>
      <c r="R28" s="201">
        <f t="shared" si="5"/>
        <v>1146.1077967990561</v>
      </c>
      <c r="S28" s="201">
        <f t="shared" si="5"/>
        <v>1146.1077967990561</v>
      </c>
      <c r="T28" s="201">
        <f t="shared" si="5"/>
        <v>1146.1077967990561</v>
      </c>
      <c r="U28" s="201">
        <f t="shared" si="5"/>
        <v>1146.1077967990561</v>
      </c>
      <c r="V28" s="201">
        <f t="shared" si="5"/>
        <v>1146.1077967990561</v>
      </c>
      <c r="W28" s="201">
        <f t="shared" si="5"/>
        <v>2125.075783754943</v>
      </c>
      <c r="X28" s="201">
        <f t="shared" si="5"/>
        <v>2408.029119552336</v>
      </c>
      <c r="Y28" s="201">
        <f t="shared" si="5"/>
        <v>2408.029119552336</v>
      </c>
      <c r="Z28" s="201">
        <f t="shared" si="5"/>
        <v>2408.029119552336</v>
      </c>
      <c r="AA28" s="201">
        <f t="shared" si="5"/>
        <v>2408.029119552336</v>
      </c>
      <c r="AB28" s="201">
        <f t="shared" si="5"/>
        <v>2408.029119552336</v>
      </c>
      <c r="AC28" s="201">
        <f t="shared" si="5"/>
        <v>2565.92718810243</v>
      </c>
      <c r="AD28" s="201">
        <f t="shared" si="5"/>
        <v>2565.92718810243</v>
      </c>
      <c r="AE28" s="201">
        <f t="shared" si="5"/>
        <v>2565.92718810243</v>
      </c>
      <c r="AF28" s="201">
        <f t="shared" si="5"/>
        <v>2565.92718810243</v>
      </c>
      <c r="AG28" s="201">
        <f t="shared" si="5"/>
        <v>2565.92718810243</v>
      </c>
      <c r="AH28" s="201">
        <f t="shared" si="5"/>
        <v>0</v>
      </c>
      <c r="AI28" s="201">
        <f t="shared" si="5"/>
        <v>0</v>
      </c>
      <c r="AJ28" s="201">
        <f t="shared" si="5"/>
        <v>0</v>
      </c>
    </row>
    <row r="29" spans="1:36" ht="12.75">
      <c r="A29" s="69" t="s">
        <v>12</v>
      </c>
      <c r="B29" s="198">
        <f aca="true" t="shared" si="6" ref="B29:AJ29">SUM(B21:B27)</f>
        <v>739625.5360000001</v>
      </c>
      <c r="C29" s="198">
        <f t="shared" si="6"/>
        <v>661582.9623915141</v>
      </c>
      <c r="D29" s="198">
        <f t="shared" si="6"/>
        <v>327335.50876842457</v>
      </c>
      <c r="E29" s="198">
        <f t="shared" si="6"/>
        <v>18706.60018565598</v>
      </c>
      <c r="F29" s="198">
        <f t="shared" si="6"/>
        <v>30063.379482571356</v>
      </c>
      <c r="G29" s="198">
        <f t="shared" si="6"/>
        <v>30112.525788632338</v>
      </c>
      <c r="H29" s="198">
        <f t="shared" si="6"/>
        <v>30119.223000793732</v>
      </c>
      <c r="I29" s="198">
        <f t="shared" si="6"/>
        <v>30187.29400104624</v>
      </c>
      <c r="J29" s="198">
        <f t="shared" si="6"/>
        <v>30187.29400104624</v>
      </c>
      <c r="K29" s="198">
        <f t="shared" si="6"/>
        <v>30187.29400104624</v>
      </c>
      <c r="L29" s="198">
        <f t="shared" si="6"/>
        <v>30187.29400104624</v>
      </c>
      <c r="M29" s="198">
        <f t="shared" si="6"/>
        <v>30187.29400104624</v>
      </c>
      <c r="N29" s="198">
        <f t="shared" si="6"/>
        <v>30286.874001046242</v>
      </c>
      <c r="O29" s="198">
        <f t="shared" si="6"/>
        <v>30286.874001046242</v>
      </c>
      <c r="P29" s="198">
        <f t="shared" si="6"/>
        <v>19420.77136639539</v>
      </c>
      <c r="Q29" s="198">
        <f t="shared" si="6"/>
        <v>20303.72986639539</v>
      </c>
      <c r="R29" s="198">
        <f t="shared" si="6"/>
        <v>69936.7117978453</v>
      </c>
      <c r="S29" s="198">
        <f t="shared" si="6"/>
        <v>20145.831797845298</v>
      </c>
      <c r="T29" s="198">
        <f t="shared" si="6"/>
        <v>20145.831797845298</v>
      </c>
      <c r="U29" s="198">
        <f t="shared" si="6"/>
        <v>20145.831797845298</v>
      </c>
      <c r="V29" s="198">
        <f t="shared" si="6"/>
        <v>20145.831797845298</v>
      </c>
      <c r="W29" s="198">
        <f t="shared" si="6"/>
        <v>20145.831797845298</v>
      </c>
      <c r="X29" s="198">
        <f t="shared" si="6"/>
        <v>21124.799784801184</v>
      </c>
      <c r="Y29" s="198">
        <f t="shared" si="6"/>
        <v>21407.753120598576</v>
      </c>
      <c r="Z29" s="198">
        <f t="shared" si="6"/>
        <v>21407.753120598576</v>
      </c>
      <c r="AA29" s="198">
        <f t="shared" si="6"/>
        <v>21407.753120598576</v>
      </c>
      <c r="AB29" s="198">
        <f t="shared" si="6"/>
        <v>21407.753120598576</v>
      </c>
      <c r="AC29" s="198">
        <f t="shared" si="6"/>
        <v>21407.753120598576</v>
      </c>
      <c r="AD29" s="198">
        <f t="shared" si="6"/>
        <v>21565.65118914867</v>
      </c>
      <c r="AE29" s="198">
        <f t="shared" si="6"/>
        <v>21565.65118914867</v>
      </c>
      <c r="AF29" s="198">
        <f t="shared" si="6"/>
        <v>21565.65118914867</v>
      </c>
      <c r="AG29" s="198">
        <f t="shared" si="6"/>
        <v>21565.65118914867</v>
      </c>
      <c r="AH29" s="198">
        <f t="shared" si="6"/>
        <v>2565.92718810243</v>
      </c>
      <c r="AI29" s="198">
        <f t="shared" si="6"/>
        <v>0</v>
      </c>
      <c r="AJ29" s="198">
        <f t="shared" si="6"/>
        <v>0</v>
      </c>
    </row>
    <row r="30" spans="1:36" ht="12.75">
      <c r="A30" s="69"/>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36" ht="12.75">
      <c r="A31" s="69" t="s">
        <v>14</v>
      </c>
      <c r="B31" s="198">
        <f aca="true" t="shared" si="7" ref="B31:AJ31">B19-B29</f>
        <v>0</v>
      </c>
      <c r="C31" s="198">
        <f t="shared" si="7"/>
        <v>0</v>
      </c>
      <c r="D31" s="198">
        <f t="shared" si="7"/>
        <v>-813.2204915854381</v>
      </c>
      <c r="E31" s="198">
        <f t="shared" si="7"/>
        <v>11471.562201220153</v>
      </c>
      <c r="F31" s="198">
        <f t="shared" si="7"/>
        <v>1388.7398756473158</v>
      </c>
      <c r="G31" s="198">
        <f t="shared" si="7"/>
        <v>2238.7880465637936</v>
      </c>
      <c r="H31" s="198">
        <f t="shared" si="7"/>
        <v>2354.6248897431797</v>
      </c>
      <c r="I31" s="198">
        <f t="shared" si="7"/>
        <v>2317.309937381211</v>
      </c>
      <c r="J31" s="198">
        <f t="shared" si="7"/>
        <v>2317.309937381211</v>
      </c>
      <c r="K31" s="198">
        <f t="shared" si="7"/>
        <v>2317.309937381211</v>
      </c>
      <c r="L31" s="198">
        <f t="shared" si="7"/>
        <v>2317.309937381211</v>
      </c>
      <c r="M31" s="198">
        <f t="shared" si="7"/>
        <v>2317.309937381211</v>
      </c>
      <c r="N31" s="198">
        <f t="shared" si="7"/>
        <v>2217.7299373812093</v>
      </c>
      <c r="O31" s="198">
        <f t="shared" si="7"/>
        <v>2217.7299373812093</v>
      </c>
      <c r="P31" s="198">
        <f t="shared" si="7"/>
        <v>13083.83257203206</v>
      </c>
      <c r="Q31" s="198">
        <f t="shared" si="7"/>
        <v>12200.87407203206</v>
      </c>
      <c r="R31" s="198">
        <f t="shared" si="7"/>
        <v>-37432.107859417854</v>
      </c>
      <c r="S31" s="198">
        <f t="shared" si="7"/>
        <v>12358.772140582154</v>
      </c>
      <c r="T31" s="198">
        <f t="shared" si="7"/>
        <v>12358.772140582154</v>
      </c>
      <c r="U31" s="198">
        <f t="shared" si="7"/>
        <v>12358.772140582154</v>
      </c>
      <c r="V31" s="198">
        <f t="shared" si="7"/>
        <v>12358.772140582154</v>
      </c>
      <c r="W31" s="198">
        <f t="shared" si="7"/>
        <v>12358.772140582154</v>
      </c>
      <c r="X31" s="198">
        <f t="shared" si="7"/>
        <v>11379.804153626268</v>
      </c>
      <c r="Y31" s="198">
        <f t="shared" si="7"/>
        <v>11096.850817828876</v>
      </c>
      <c r="Z31" s="198">
        <f t="shared" si="7"/>
        <v>11096.850817828876</v>
      </c>
      <c r="AA31" s="198">
        <f t="shared" si="7"/>
        <v>11096.850817828876</v>
      </c>
      <c r="AB31" s="198">
        <f t="shared" si="7"/>
        <v>11096.850817828876</v>
      </c>
      <c r="AC31" s="198">
        <f t="shared" si="7"/>
        <v>11096.850817828876</v>
      </c>
      <c r="AD31" s="198">
        <f t="shared" si="7"/>
        <v>10938.952749278782</v>
      </c>
      <c r="AE31" s="198">
        <f t="shared" si="7"/>
        <v>10938.952749278782</v>
      </c>
      <c r="AF31" s="198">
        <f t="shared" si="7"/>
        <v>10938.952749278782</v>
      </c>
      <c r="AG31" s="198">
        <f t="shared" si="7"/>
        <v>10938.952749278782</v>
      </c>
      <c r="AH31" s="198">
        <f t="shared" si="7"/>
        <v>-2565.92718810243</v>
      </c>
      <c r="AI31" s="198">
        <f t="shared" si="7"/>
        <v>0</v>
      </c>
      <c r="AJ31" s="198">
        <f t="shared" si="7"/>
        <v>0</v>
      </c>
    </row>
    <row r="32" spans="1:36" s="59" customFormat="1" ht="12.75">
      <c r="A32" s="69" t="s">
        <v>15</v>
      </c>
      <c r="B32" s="205">
        <f>B31</f>
        <v>0</v>
      </c>
      <c r="C32" s="206">
        <f>B32+C31</f>
        <v>0</v>
      </c>
      <c r="D32" s="206">
        <f aca="true" t="shared" si="8" ref="D32:AF32">C32+D31</f>
        <v>-813.2204915854381</v>
      </c>
      <c r="E32" s="206">
        <f t="shared" si="8"/>
        <v>10658.341709634715</v>
      </c>
      <c r="F32" s="206">
        <f>E32+F31</f>
        <v>12047.08158528203</v>
      </c>
      <c r="G32" s="206">
        <f>F32+G31</f>
        <v>14285.869631845824</v>
      </c>
      <c r="H32" s="206">
        <f t="shared" si="8"/>
        <v>16640.494521589004</v>
      </c>
      <c r="I32" s="206">
        <f t="shared" si="8"/>
        <v>18957.804458970215</v>
      </c>
      <c r="J32" s="206">
        <f t="shared" si="8"/>
        <v>21275.114396351426</v>
      </c>
      <c r="K32" s="206">
        <f t="shared" si="8"/>
        <v>23592.424333732637</v>
      </c>
      <c r="L32" s="206">
        <f t="shared" si="8"/>
        <v>25909.734271113848</v>
      </c>
      <c r="M32" s="206">
        <f t="shared" si="8"/>
        <v>28227.04420849506</v>
      </c>
      <c r="N32" s="206">
        <f t="shared" si="8"/>
        <v>30444.77414587627</v>
      </c>
      <c r="O32" s="206">
        <f t="shared" si="8"/>
        <v>32662.504083257478</v>
      </c>
      <c r="P32" s="206">
        <f t="shared" si="8"/>
        <v>45746.33665528954</v>
      </c>
      <c r="Q32" s="206">
        <f t="shared" si="8"/>
        <v>57947.210727321595</v>
      </c>
      <c r="R32" s="206">
        <f t="shared" si="8"/>
        <v>20515.10286790374</v>
      </c>
      <c r="S32" s="206">
        <f t="shared" si="8"/>
        <v>32873.87500848589</v>
      </c>
      <c r="T32" s="206">
        <f t="shared" si="8"/>
        <v>45232.64714906804</v>
      </c>
      <c r="U32" s="206">
        <f t="shared" si="8"/>
        <v>57591.41928965019</v>
      </c>
      <c r="V32" s="206">
        <f t="shared" si="8"/>
        <v>69950.19143023234</v>
      </c>
      <c r="W32" s="206">
        <f t="shared" si="8"/>
        <v>82308.96357081449</v>
      </c>
      <c r="X32" s="206">
        <f t="shared" si="8"/>
        <v>93688.76772444075</v>
      </c>
      <c r="Y32" s="206">
        <f t="shared" si="8"/>
        <v>104785.61854226963</v>
      </c>
      <c r="Z32" s="206">
        <f t="shared" si="8"/>
        <v>115882.4693600985</v>
      </c>
      <c r="AA32" s="206">
        <f t="shared" si="8"/>
        <v>126979.32017792738</v>
      </c>
      <c r="AB32" s="206">
        <f t="shared" si="8"/>
        <v>138076.17099575626</v>
      </c>
      <c r="AC32" s="206">
        <f t="shared" si="8"/>
        <v>149173.02181358513</v>
      </c>
      <c r="AD32" s="206">
        <f t="shared" si="8"/>
        <v>160111.9745628639</v>
      </c>
      <c r="AE32" s="206">
        <f t="shared" si="8"/>
        <v>171050.92731214268</v>
      </c>
      <c r="AF32" s="206">
        <f t="shared" si="8"/>
        <v>181989.88006142146</v>
      </c>
      <c r="AG32" s="206">
        <f>AF32+AG31</f>
        <v>192928.83281070023</v>
      </c>
      <c r="AH32" s="206">
        <f>AG32+AH31</f>
        <v>190362.9056225978</v>
      </c>
      <c r="AI32" s="206">
        <f>AH32+AI31</f>
        <v>190362.9056225978</v>
      </c>
      <c r="AJ32" s="206">
        <f>AI32+AJ31</f>
        <v>190362.9056225978</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-813.2204915854254</v>
      </c>
      <c r="E34" s="70">
        <f t="shared" si="9"/>
        <v>11471.562201220153</v>
      </c>
      <c r="F34" s="70">
        <f t="shared" si="9"/>
        <v>12675.889875647317</v>
      </c>
      <c r="G34" s="70">
        <f t="shared" si="9"/>
        <v>13525.938046563795</v>
      </c>
      <c r="H34" s="70">
        <f t="shared" si="9"/>
        <v>13641.774889743181</v>
      </c>
      <c r="I34" s="70">
        <f t="shared" si="9"/>
        <v>13604.459937381209</v>
      </c>
      <c r="J34" s="70">
        <f t="shared" si="9"/>
        <v>13604.459937381209</v>
      </c>
      <c r="K34" s="70">
        <f t="shared" si="9"/>
        <v>13604.459937381209</v>
      </c>
      <c r="L34" s="70">
        <f t="shared" si="9"/>
        <v>13604.459937381209</v>
      </c>
      <c r="M34" s="70">
        <f t="shared" si="9"/>
        <v>13604.459937381209</v>
      </c>
      <c r="N34" s="70">
        <f t="shared" si="9"/>
        <v>13504.87993738121</v>
      </c>
      <c r="O34" s="70">
        <f t="shared" si="9"/>
        <v>13504.87993738121</v>
      </c>
      <c r="P34" s="70">
        <f t="shared" si="9"/>
        <v>13504.87993738121</v>
      </c>
      <c r="Q34" s="70">
        <f t="shared" si="9"/>
        <v>13504.87993738121</v>
      </c>
      <c r="R34" s="70">
        <f t="shared" si="9"/>
        <v>-36286.00006261878</v>
      </c>
      <c r="S34" s="70">
        <f t="shared" si="9"/>
        <v>13504.87993738121</v>
      </c>
      <c r="T34" s="70">
        <f t="shared" si="9"/>
        <v>13504.87993738121</v>
      </c>
      <c r="U34" s="70">
        <f t="shared" si="9"/>
        <v>13504.87993738121</v>
      </c>
      <c r="V34" s="70">
        <f t="shared" si="9"/>
        <v>13504.87993738121</v>
      </c>
      <c r="W34" s="70">
        <f t="shared" si="9"/>
        <v>13504.87993738121</v>
      </c>
      <c r="X34" s="70">
        <f t="shared" si="9"/>
        <v>13504.87993738121</v>
      </c>
      <c r="Y34" s="70">
        <f t="shared" si="9"/>
        <v>13504.87993738121</v>
      </c>
      <c r="Z34" s="70">
        <f t="shared" si="9"/>
        <v>13504.87993738121</v>
      </c>
      <c r="AA34" s="70">
        <f t="shared" si="9"/>
        <v>13504.87993738121</v>
      </c>
      <c r="AB34" s="70">
        <f t="shared" si="9"/>
        <v>13504.87993738121</v>
      </c>
      <c r="AC34" s="70">
        <f t="shared" si="9"/>
        <v>13504.87993738121</v>
      </c>
      <c r="AD34" s="70">
        <f t="shared" si="9"/>
        <v>13504.87993738121</v>
      </c>
      <c r="AE34" s="70">
        <f t="shared" si="9"/>
        <v>13504.87993738121</v>
      </c>
      <c r="AF34" s="70">
        <f t="shared" si="9"/>
        <v>13504.87993738121</v>
      </c>
      <c r="AG34" s="70">
        <f>AG18-AG24-AG23+AG42</f>
        <v>18483.96993738121</v>
      </c>
      <c r="AH34" s="70">
        <f>AH18-AH24-AH23+AH42</f>
        <v>0</v>
      </c>
      <c r="AI34" s="70">
        <f t="shared" si="9"/>
        <v>0</v>
      </c>
      <c r="AJ34" s="70">
        <f t="shared" si="9"/>
        <v>0</v>
      </c>
    </row>
    <row r="35" spans="1:36" s="54" customFormat="1" ht="12.75" hidden="1">
      <c r="A35" s="70" t="s">
        <v>7</v>
      </c>
      <c r="B35" s="70"/>
      <c r="C35" s="73" t="e">
        <f aca="true" t="shared" si="10" ref="C35:AJ35">C18/B18-1</f>
        <v>#DIV/0!</v>
      </c>
      <c r="D35" s="73" t="e">
        <f t="shared" si="10"/>
        <v>#DIV/0!</v>
      </c>
      <c r="E35" s="73">
        <f t="shared" si="10"/>
        <v>0.9057833891119857</v>
      </c>
      <c r="F35" s="73">
        <f t="shared" si="10"/>
        <v>0.0422145309913422</v>
      </c>
      <c r="G35" s="73">
        <f t="shared" si="10"/>
        <v>0.028589312749841556</v>
      </c>
      <c r="H35" s="73">
        <f t="shared" si="10"/>
        <v>0.0037876067712425687</v>
      </c>
      <c r="I35" s="73">
        <f t="shared" si="10"/>
        <v>0.0009471020494464799</v>
      </c>
      <c r="J35" s="73">
        <f t="shared" si="10"/>
        <v>0</v>
      </c>
      <c r="K35" s="73">
        <f t="shared" si="10"/>
        <v>0</v>
      </c>
      <c r="L35" s="73">
        <f t="shared" si="10"/>
        <v>0</v>
      </c>
      <c r="M35" s="73">
        <f t="shared" si="10"/>
        <v>0</v>
      </c>
      <c r="N35" s="73">
        <f t="shared" si="10"/>
        <v>0</v>
      </c>
      <c r="O35" s="73">
        <f t="shared" si="10"/>
        <v>0</v>
      </c>
      <c r="P35" s="73">
        <f t="shared" si="10"/>
        <v>0</v>
      </c>
      <c r="Q35" s="73">
        <f t="shared" si="10"/>
        <v>0</v>
      </c>
      <c r="R35" s="73">
        <f t="shared" si="10"/>
        <v>0</v>
      </c>
      <c r="S35" s="73">
        <f t="shared" si="10"/>
        <v>0</v>
      </c>
      <c r="T35" s="73">
        <f t="shared" si="10"/>
        <v>0</v>
      </c>
      <c r="U35" s="73">
        <f t="shared" si="10"/>
        <v>0</v>
      </c>
      <c r="V35" s="73">
        <f t="shared" si="10"/>
        <v>0</v>
      </c>
      <c r="W35" s="73">
        <f t="shared" si="10"/>
        <v>0</v>
      </c>
      <c r="X35" s="73">
        <f t="shared" si="10"/>
        <v>0</v>
      </c>
      <c r="Y35" s="73">
        <f t="shared" si="10"/>
        <v>0</v>
      </c>
      <c r="Z35" s="73">
        <f t="shared" si="10"/>
        <v>0</v>
      </c>
      <c r="AA35" s="73">
        <f t="shared" si="10"/>
        <v>0</v>
      </c>
      <c r="AB35" s="73">
        <f t="shared" si="10"/>
        <v>0</v>
      </c>
      <c r="AC35" s="73">
        <f t="shared" si="10"/>
        <v>0</v>
      </c>
      <c r="AD35" s="73">
        <f t="shared" si="10"/>
        <v>0</v>
      </c>
      <c r="AE35" s="73">
        <f t="shared" si="10"/>
        <v>0</v>
      </c>
      <c r="AF35" s="73">
        <f t="shared" si="10"/>
        <v>0</v>
      </c>
      <c r="AG35" s="73">
        <f t="shared" si="10"/>
        <v>0</v>
      </c>
      <c r="AH35" s="73">
        <f t="shared" si="10"/>
        <v>-1</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f t="shared" si="11"/>
        <v>0.12363670343501987</v>
      </c>
      <c r="F36" s="73">
        <f t="shared" si="11"/>
        <v>0.0037221780667962</v>
      </c>
      <c r="G36" s="73">
        <f t="shared" si="11"/>
        <v>0.0026174747228457917</v>
      </c>
      <c r="H36" s="73">
        <f t="shared" si="11"/>
        <v>0.00035575450055236324</v>
      </c>
      <c r="I36" s="73">
        <f t="shared" si="11"/>
        <v>0.0036146312861915497</v>
      </c>
      <c r="J36" s="73">
        <f t="shared" si="11"/>
        <v>0</v>
      </c>
      <c r="K36" s="73">
        <f t="shared" si="11"/>
        <v>0</v>
      </c>
      <c r="L36" s="73">
        <f t="shared" si="11"/>
        <v>0</v>
      </c>
      <c r="M36" s="73">
        <f t="shared" si="11"/>
        <v>0</v>
      </c>
      <c r="N36" s="73">
        <f t="shared" si="11"/>
        <v>0.00526874292568813</v>
      </c>
      <c r="O36" s="73">
        <f t="shared" si="11"/>
        <v>0</v>
      </c>
      <c r="P36" s="73">
        <f t="shared" si="11"/>
        <v>0</v>
      </c>
      <c r="Q36" s="73">
        <f t="shared" si="11"/>
        <v>0</v>
      </c>
      <c r="R36" s="73">
        <f t="shared" si="11"/>
        <v>0</v>
      </c>
      <c r="S36" s="73">
        <f t="shared" si="11"/>
        <v>0</v>
      </c>
      <c r="T36" s="73">
        <f t="shared" si="11"/>
        <v>0</v>
      </c>
      <c r="U36" s="73">
        <f t="shared" si="11"/>
        <v>0</v>
      </c>
      <c r="V36" s="73">
        <f t="shared" si="11"/>
        <v>0</v>
      </c>
      <c r="W36" s="73">
        <f t="shared" si="11"/>
        <v>0</v>
      </c>
      <c r="X36" s="73">
        <f t="shared" si="11"/>
        <v>0</v>
      </c>
      <c r="Y36" s="73">
        <f t="shared" si="11"/>
        <v>0</v>
      </c>
      <c r="Z36" s="73">
        <f t="shared" si="11"/>
        <v>0</v>
      </c>
      <c r="AA36" s="73">
        <f t="shared" si="11"/>
        <v>0</v>
      </c>
      <c r="AB36" s="73">
        <f t="shared" si="11"/>
        <v>0</v>
      </c>
      <c r="AC36" s="73">
        <f t="shared" si="11"/>
        <v>0</v>
      </c>
      <c r="AD36" s="73">
        <f t="shared" si="11"/>
        <v>0</v>
      </c>
      <c r="AE36" s="73">
        <f t="shared" si="11"/>
        <v>0</v>
      </c>
      <c r="AF36" s="73">
        <f t="shared" si="11"/>
        <v>0</v>
      </c>
      <c r="AG36" s="73">
        <f t="shared" si="11"/>
        <v>0</v>
      </c>
      <c r="AH36" s="73">
        <f t="shared" si="11"/>
        <v>-1</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f t="shared" si="12"/>
        <v>-15.106336866715703</v>
      </c>
      <c r="F37" s="73">
        <f>F34/E34-1</f>
        <v>0.1049837548977477</v>
      </c>
      <c r="G37" s="73">
        <f>G34/F34-1</f>
        <v>0.06706023634282077</v>
      </c>
      <c r="H37" s="73">
        <f t="shared" si="12"/>
        <v>0.008564052473152728</v>
      </c>
      <c r="I37" s="73">
        <f t="shared" si="12"/>
        <v>-0.0027353443861639626</v>
      </c>
      <c r="J37" s="73">
        <f t="shared" si="12"/>
        <v>0</v>
      </c>
      <c r="K37" s="73">
        <f t="shared" si="12"/>
        <v>0</v>
      </c>
      <c r="L37" s="73">
        <f t="shared" si="12"/>
        <v>0</v>
      </c>
      <c r="M37" s="73">
        <f t="shared" si="12"/>
        <v>0</v>
      </c>
      <c r="N37" s="73">
        <f t="shared" si="12"/>
        <v>-0.007319658439831178</v>
      </c>
      <c r="O37" s="73">
        <f t="shared" si="12"/>
        <v>0</v>
      </c>
      <c r="P37" s="73">
        <f t="shared" si="12"/>
        <v>0</v>
      </c>
      <c r="Q37" s="73">
        <f t="shared" si="12"/>
        <v>0</v>
      </c>
      <c r="R37" s="73">
        <f t="shared" si="12"/>
        <v>-3.686880611369223</v>
      </c>
      <c r="S37" s="73">
        <f t="shared" si="12"/>
        <v>-1.3721787993737482</v>
      </c>
      <c r="T37" s="73">
        <f t="shared" si="12"/>
        <v>0</v>
      </c>
      <c r="U37" s="73">
        <f t="shared" si="12"/>
        <v>0</v>
      </c>
      <c r="V37" s="73">
        <f t="shared" si="12"/>
        <v>0</v>
      </c>
      <c r="W37" s="73">
        <f t="shared" si="12"/>
        <v>0</v>
      </c>
      <c r="X37" s="73">
        <f t="shared" si="12"/>
        <v>0</v>
      </c>
      <c r="Y37" s="73">
        <f t="shared" si="12"/>
        <v>0</v>
      </c>
      <c r="Z37" s="73">
        <f t="shared" si="12"/>
        <v>0</v>
      </c>
      <c r="AA37" s="73">
        <f t="shared" si="12"/>
        <v>0</v>
      </c>
      <c r="AB37" s="73">
        <f t="shared" si="12"/>
        <v>0</v>
      </c>
      <c r="AC37" s="73">
        <f t="shared" si="12"/>
        <v>0</v>
      </c>
      <c r="AD37" s="73">
        <f t="shared" si="12"/>
        <v>0</v>
      </c>
      <c r="AE37" s="73">
        <f t="shared" si="12"/>
        <v>0</v>
      </c>
      <c r="AF37" s="73">
        <f t="shared" si="12"/>
        <v>0</v>
      </c>
      <c r="AG37" s="73">
        <f>AG34/AF34-1</f>
        <v>0.3686882092315378</v>
      </c>
      <c r="AH37" s="73">
        <f>AH34/AG34-1</f>
        <v>-1</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126</v>
      </c>
      <c r="B40" s="198">
        <f>'Investičné výdavky'!G95</f>
        <v>22571.864</v>
      </c>
      <c r="C40" s="198">
        <f>'Investičné výdavky'!G96</f>
        <v>21766.503375120545</v>
      </c>
      <c r="D40" s="198">
        <f>'Investičné výdavky'!G97</f>
        <v>10494.938946538354</v>
      </c>
      <c r="E40" s="198">
        <f>'Investičné výdavky'!G98</f>
        <v>0</v>
      </c>
      <c r="F40" s="198">
        <f>'Investičné výdavky'!G99</f>
        <v>0</v>
      </c>
      <c r="G40" s="198">
        <f>'Investičné výdavky'!G100</f>
        <v>0</v>
      </c>
      <c r="H40" s="198">
        <f>'Investičné výdavky'!G101</f>
        <v>0</v>
      </c>
      <c r="I40" s="198">
        <f>'Investičné výdavky'!G102</f>
        <v>0</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row>
    <row r="41" spans="1:36" s="54" customFormat="1" ht="12.75" hidden="1">
      <c r="A41" s="70" t="s">
        <v>63</v>
      </c>
      <c r="B41" s="201">
        <f>B21+B22-B40+B43</f>
        <v>717053.672</v>
      </c>
      <c r="C41" s="201">
        <f aca="true" t="shared" si="13" ref="C41:AJ41">C21+C22-C40+C43</f>
        <v>639816.4590163935</v>
      </c>
      <c r="D41" s="201">
        <f t="shared" si="13"/>
        <v>300192.30608284235</v>
      </c>
      <c r="E41" s="201">
        <f t="shared" si="13"/>
        <v>0</v>
      </c>
      <c r="F41" s="201">
        <f t="shared" si="13"/>
        <v>0</v>
      </c>
      <c r="G41" s="201">
        <f t="shared" si="13"/>
        <v>0</v>
      </c>
      <c r="H41" s="201">
        <f t="shared" si="13"/>
        <v>0</v>
      </c>
      <c r="I41" s="201">
        <f t="shared" si="13"/>
        <v>0</v>
      </c>
      <c r="J41" s="201">
        <f t="shared" si="13"/>
        <v>0</v>
      </c>
      <c r="K41" s="201">
        <f t="shared" si="13"/>
        <v>0</v>
      </c>
      <c r="L41" s="201">
        <f t="shared" si="13"/>
        <v>0</v>
      </c>
      <c r="M41" s="201">
        <f t="shared" si="13"/>
        <v>0</v>
      </c>
      <c r="N41" s="201">
        <f t="shared" si="13"/>
        <v>0</v>
      </c>
      <c r="O41" s="201">
        <f t="shared" si="13"/>
        <v>0</v>
      </c>
      <c r="P41" s="201">
        <f t="shared" si="13"/>
        <v>0</v>
      </c>
      <c r="Q41" s="201">
        <f t="shared" si="13"/>
        <v>0</v>
      </c>
      <c r="R41" s="201">
        <f t="shared" si="13"/>
        <v>0</v>
      </c>
      <c r="S41" s="201">
        <f t="shared" si="13"/>
        <v>0</v>
      </c>
      <c r="T41" s="201">
        <f t="shared" si="13"/>
        <v>0</v>
      </c>
      <c r="U41" s="201">
        <f t="shared" si="13"/>
        <v>0</v>
      </c>
      <c r="V41" s="201">
        <f t="shared" si="13"/>
        <v>0</v>
      </c>
      <c r="W41" s="201">
        <f t="shared" si="13"/>
        <v>0</v>
      </c>
      <c r="X41" s="201">
        <f t="shared" si="13"/>
        <v>0</v>
      </c>
      <c r="Y41" s="201">
        <f t="shared" si="13"/>
        <v>0</v>
      </c>
      <c r="Z41" s="201">
        <f t="shared" si="13"/>
        <v>0</v>
      </c>
      <c r="AA41" s="201">
        <f t="shared" si="13"/>
        <v>0</v>
      </c>
      <c r="AB41" s="201">
        <f t="shared" si="13"/>
        <v>0</v>
      </c>
      <c r="AC41" s="201">
        <f t="shared" si="13"/>
        <v>0</v>
      </c>
      <c r="AD41" s="201">
        <f t="shared" si="13"/>
        <v>0</v>
      </c>
      <c r="AE41" s="201">
        <f t="shared" si="13"/>
        <v>0</v>
      </c>
      <c r="AF41" s="201">
        <f t="shared" si="13"/>
        <v>0</v>
      </c>
      <c r="AG41" s="201">
        <f t="shared" si="13"/>
        <v>0</v>
      </c>
      <c r="AH41" s="201">
        <f t="shared" si="13"/>
        <v>0</v>
      </c>
      <c r="AI41" s="201">
        <f t="shared" si="13"/>
        <v>0</v>
      </c>
      <c r="AJ41" s="201">
        <f t="shared" si="13"/>
        <v>0</v>
      </c>
    </row>
    <row r="42" spans="1:36" ht="12.75">
      <c r="A42" s="68" t="s">
        <v>58</v>
      </c>
      <c r="B42" s="198"/>
      <c r="C42" s="198"/>
      <c r="D42" s="198"/>
      <c r="E42" s="198"/>
      <c r="F42" s="198"/>
      <c r="G42" s="198"/>
      <c r="H42" s="198"/>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4979.09</v>
      </c>
      <c r="AH42" s="200">
        <v>0</v>
      </c>
      <c r="AI42" s="200">
        <v>0</v>
      </c>
      <c r="AJ42" s="200">
        <v>0</v>
      </c>
    </row>
    <row r="43" spans="1:36" ht="12.75">
      <c r="A43" s="68" t="s">
        <v>266</v>
      </c>
      <c r="B43" s="309">
        <v>0</v>
      </c>
      <c r="C43" s="309">
        <v>0</v>
      </c>
      <c r="D43" s="309">
        <v>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row>
    <row r="44" spans="1:36" ht="12.75">
      <c r="A44" s="68" t="s">
        <v>16</v>
      </c>
      <c r="B44" s="198">
        <f>'Odpisy - daňové'!C21</f>
        <v>0</v>
      </c>
      <c r="C44" s="198">
        <f>'Odpisy - daňové'!D21</f>
        <v>114957.86033333333</v>
      </c>
      <c r="D44" s="198">
        <f>'Odpisy - daňové'!E21</f>
        <v>122393.29833333334</v>
      </c>
      <c r="E44" s="198">
        <f>'Odpisy - daňové'!F21</f>
        <v>122393.29833333334</v>
      </c>
      <c r="F44" s="198">
        <f>'Odpisy - daňové'!G21</f>
        <v>122393.29833333334</v>
      </c>
      <c r="G44" s="198">
        <f>'Odpisy - daňové'!H21</f>
        <v>122393.29833333334</v>
      </c>
      <c r="H44" s="198">
        <f>'Odpisy - daňové'!I21</f>
        <v>122393.29833333334</v>
      </c>
      <c r="I44" s="198">
        <f>'Odpisy - daňové'!J21</f>
        <v>112309.965</v>
      </c>
      <c r="J44" s="198">
        <f>'Odpisy - daňové'!K21</f>
        <v>112309.965</v>
      </c>
      <c r="K44" s="198">
        <f>'Odpisy - daňové'!L21</f>
        <v>112309.965</v>
      </c>
      <c r="L44" s="198">
        <f>'Odpisy - daňové'!M21</f>
        <v>112309.965</v>
      </c>
      <c r="M44" s="198">
        <f>'Odpisy - daňové'!N21</f>
        <v>112309.965</v>
      </c>
      <c r="N44" s="198">
        <f>'Odpisy - daňové'!O21</f>
        <v>112309.965</v>
      </c>
      <c r="O44" s="198">
        <f>'Odpisy - daňové'!P21</f>
        <v>33160.725</v>
      </c>
      <c r="P44" s="198">
        <f>'Odpisy - daňové'!Q21</f>
        <v>33160.725</v>
      </c>
      <c r="Q44" s="198">
        <f>'Odpisy - daňové'!R21</f>
        <v>37309.965</v>
      </c>
      <c r="R44" s="198">
        <f>'Odpisy - daňové'!S21</f>
        <v>37309.965</v>
      </c>
      <c r="S44" s="198">
        <f>'Odpisy - daňové'!T21</f>
        <v>37309.965</v>
      </c>
      <c r="T44" s="198">
        <f>'Odpisy - daňové'!U21</f>
        <v>37309.965</v>
      </c>
      <c r="U44" s="198">
        <f>'Odpisy - daňové'!V21</f>
        <v>37309.965</v>
      </c>
      <c r="V44" s="198">
        <f>'Odpisy - daňové'!W21</f>
        <v>37309.965</v>
      </c>
      <c r="W44" s="198">
        <f>'Odpisy - daňové'!X21</f>
        <v>11584.678</v>
      </c>
      <c r="X44" s="198">
        <f>'Odpisy - daňové'!Y21</f>
        <v>4149.24</v>
      </c>
      <c r="Y44" s="198">
        <f>'Odpisy - daňové'!Z21</f>
        <v>4149.24</v>
      </c>
      <c r="Z44" s="198">
        <f>'Odpisy - daňové'!AA21</f>
        <v>4149.24</v>
      </c>
      <c r="AA44" s="198">
        <f>'Odpisy - daňové'!AB21</f>
        <v>4149.24</v>
      </c>
      <c r="AB44" s="198">
        <f>'Odpisy - daňové'!AC21</f>
        <v>4149.24</v>
      </c>
      <c r="AC44" s="198">
        <f>'Odpisy - daňové'!AD21</f>
        <v>0</v>
      </c>
      <c r="AD44" s="198">
        <f>'Odpisy - daňové'!AE21</f>
        <v>0</v>
      </c>
      <c r="AE44" s="198">
        <f>'Odpisy - daňové'!AF21</f>
        <v>0</v>
      </c>
      <c r="AF44" s="198">
        <f>'Odpisy - daňové'!AG21</f>
        <v>0</v>
      </c>
      <c r="AG44" s="198">
        <f>'Odpisy - daňové'!AH21</f>
        <v>0</v>
      </c>
      <c r="AH44" s="198">
        <f>'Odpisy - daňové'!AI21</f>
        <v>0</v>
      </c>
      <c r="AI44" s="198">
        <f>'Odpisy - daňové'!AJ21</f>
        <v>0</v>
      </c>
      <c r="AJ44" s="198">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-739625.5360000001</v>
      </c>
      <c r="C46" s="70">
        <f aca="true" t="shared" si="14" ref="C46:AJ46">C18+C42-(C21+C22+C23+C24+C43)</f>
        <v>-661582.9623915141</v>
      </c>
      <c r="D46" s="70">
        <f t="shared" si="14"/>
        <v>-311500.46552096616</v>
      </c>
      <c r="E46" s="70">
        <f t="shared" si="14"/>
        <v>11471.562201220153</v>
      </c>
      <c r="F46" s="70">
        <f t="shared" si="14"/>
        <v>12675.889875647317</v>
      </c>
      <c r="G46" s="70">
        <f t="shared" si="14"/>
        <v>13525.938046563795</v>
      </c>
      <c r="H46" s="70">
        <f t="shared" si="14"/>
        <v>13641.774889743181</v>
      </c>
      <c r="I46" s="70">
        <f t="shared" si="14"/>
        <v>13604.459937381209</v>
      </c>
      <c r="J46" s="70">
        <f t="shared" si="14"/>
        <v>13604.459937381209</v>
      </c>
      <c r="K46" s="70">
        <f t="shared" si="14"/>
        <v>13604.459937381209</v>
      </c>
      <c r="L46" s="70">
        <f t="shared" si="14"/>
        <v>13604.459937381209</v>
      </c>
      <c r="M46" s="70">
        <f t="shared" si="14"/>
        <v>13604.459937381209</v>
      </c>
      <c r="N46" s="70">
        <f t="shared" si="14"/>
        <v>13504.87993738121</v>
      </c>
      <c r="O46" s="70">
        <f t="shared" si="14"/>
        <v>13504.87993738121</v>
      </c>
      <c r="P46" s="70">
        <f t="shared" si="14"/>
        <v>13504.87993738121</v>
      </c>
      <c r="Q46" s="70">
        <f t="shared" si="14"/>
        <v>13504.87993738121</v>
      </c>
      <c r="R46" s="70">
        <f t="shared" si="14"/>
        <v>-36286.0000626188</v>
      </c>
      <c r="S46" s="70">
        <f t="shared" si="14"/>
        <v>13504.87993738121</v>
      </c>
      <c r="T46" s="70">
        <f t="shared" si="14"/>
        <v>13504.87993738121</v>
      </c>
      <c r="U46" s="70">
        <f t="shared" si="14"/>
        <v>13504.87993738121</v>
      </c>
      <c r="V46" s="70">
        <f t="shared" si="14"/>
        <v>13504.87993738121</v>
      </c>
      <c r="W46" s="70">
        <f t="shared" si="14"/>
        <v>13504.87993738121</v>
      </c>
      <c r="X46" s="70">
        <f t="shared" si="14"/>
        <v>13504.87993738121</v>
      </c>
      <c r="Y46" s="70">
        <f t="shared" si="14"/>
        <v>13504.87993738121</v>
      </c>
      <c r="Z46" s="70">
        <f t="shared" si="14"/>
        <v>13504.87993738121</v>
      </c>
      <c r="AA46" s="70">
        <f t="shared" si="14"/>
        <v>13504.87993738121</v>
      </c>
      <c r="AB46" s="70">
        <f t="shared" si="14"/>
        <v>13504.87993738121</v>
      </c>
      <c r="AC46" s="70">
        <f t="shared" si="14"/>
        <v>13504.87993738121</v>
      </c>
      <c r="AD46" s="70">
        <f t="shared" si="14"/>
        <v>13504.87993738121</v>
      </c>
      <c r="AE46" s="70">
        <f t="shared" si="14"/>
        <v>13504.87993738121</v>
      </c>
      <c r="AF46" s="70">
        <f t="shared" si="14"/>
        <v>13504.87993738121</v>
      </c>
      <c r="AG46" s="70">
        <f t="shared" si="14"/>
        <v>18483.96993738121</v>
      </c>
      <c r="AH46" s="70">
        <f t="shared" si="14"/>
        <v>0</v>
      </c>
      <c r="AI46" s="70">
        <f t="shared" si="14"/>
        <v>0</v>
      </c>
      <c r="AJ46" s="70">
        <f t="shared" si="14"/>
        <v>0</v>
      </c>
    </row>
    <row r="47" spans="1:36" s="54" customFormat="1" ht="12.75" hidden="1">
      <c r="A47" s="70" t="s">
        <v>17</v>
      </c>
      <c r="B47" s="70">
        <f>B18+B42-(B16+B23+B24+B43)</f>
        <v>-168765.7082562633</v>
      </c>
      <c r="C47" s="70">
        <f aca="true" t="shared" si="15" ref="C47:AJ47">C18+C42-(C16+C23+C24+C43)</f>
        <v>-111091.3252230119</v>
      </c>
      <c r="D47" s="70">
        <f t="shared" si="15"/>
        <v>-46075.37527578666</v>
      </c>
      <c r="E47" s="70">
        <f t="shared" si="15"/>
        <v>11471.562201220153</v>
      </c>
      <c r="F47" s="70">
        <f t="shared" si="15"/>
        <v>12675.889875647317</v>
      </c>
      <c r="G47" s="70">
        <f t="shared" si="15"/>
        <v>13525.938046563795</v>
      </c>
      <c r="H47" s="70">
        <f t="shared" si="15"/>
        <v>13641.774889743181</v>
      </c>
      <c r="I47" s="70">
        <f t="shared" si="15"/>
        <v>13604.459937381209</v>
      </c>
      <c r="J47" s="70">
        <f t="shared" si="15"/>
        <v>13604.459937381209</v>
      </c>
      <c r="K47" s="70">
        <f t="shared" si="15"/>
        <v>13604.459937381209</v>
      </c>
      <c r="L47" s="70">
        <f t="shared" si="15"/>
        <v>13604.459937381209</v>
      </c>
      <c r="M47" s="70">
        <f t="shared" si="15"/>
        <v>13604.459937381209</v>
      </c>
      <c r="N47" s="70">
        <f t="shared" si="15"/>
        <v>13504.87993738121</v>
      </c>
      <c r="O47" s="70">
        <f t="shared" si="15"/>
        <v>13504.87993738121</v>
      </c>
      <c r="P47" s="70">
        <f t="shared" si="15"/>
        <v>13504.87993738121</v>
      </c>
      <c r="Q47" s="70">
        <f t="shared" si="15"/>
        <v>13504.87993738121</v>
      </c>
      <c r="R47" s="70">
        <f t="shared" si="15"/>
        <v>-36286.0000626188</v>
      </c>
      <c r="S47" s="70">
        <f t="shared" si="15"/>
        <v>13504.87993738121</v>
      </c>
      <c r="T47" s="70">
        <f t="shared" si="15"/>
        <v>13504.87993738121</v>
      </c>
      <c r="U47" s="70">
        <f t="shared" si="15"/>
        <v>13504.87993738121</v>
      </c>
      <c r="V47" s="70">
        <f t="shared" si="15"/>
        <v>13504.87993738121</v>
      </c>
      <c r="W47" s="70">
        <f t="shared" si="15"/>
        <v>13504.87993738121</v>
      </c>
      <c r="X47" s="70">
        <f t="shared" si="15"/>
        <v>13504.87993738121</v>
      </c>
      <c r="Y47" s="70">
        <f t="shared" si="15"/>
        <v>13504.87993738121</v>
      </c>
      <c r="Z47" s="70">
        <f t="shared" si="15"/>
        <v>13504.87993738121</v>
      </c>
      <c r="AA47" s="70">
        <f t="shared" si="15"/>
        <v>13504.87993738121</v>
      </c>
      <c r="AB47" s="70">
        <f t="shared" si="15"/>
        <v>13504.87993738121</v>
      </c>
      <c r="AC47" s="70">
        <f t="shared" si="15"/>
        <v>13504.87993738121</v>
      </c>
      <c r="AD47" s="70">
        <f t="shared" si="15"/>
        <v>13504.87993738121</v>
      </c>
      <c r="AE47" s="70">
        <f t="shared" si="15"/>
        <v>13504.87993738121</v>
      </c>
      <c r="AF47" s="70">
        <f t="shared" si="15"/>
        <v>13504.87993738121</v>
      </c>
      <c r="AG47" s="70">
        <f t="shared" si="15"/>
        <v>18483.96993738121</v>
      </c>
      <c r="AH47" s="70">
        <f t="shared" si="15"/>
        <v>0</v>
      </c>
      <c r="AI47" s="70">
        <f t="shared" si="15"/>
        <v>0</v>
      </c>
      <c r="AJ47" s="70">
        <f t="shared" si="15"/>
        <v>0</v>
      </c>
    </row>
    <row r="48" spans="1:36" s="54" customFormat="1" ht="12.75" hidden="1">
      <c r="A48" s="70" t="s">
        <v>109</v>
      </c>
      <c r="B48" s="70">
        <f>B46</f>
        <v>-739625.5360000001</v>
      </c>
      <c r="C48" s="70">
        <f>B48+C46</f>
        <v>-1401208.4983915142</v>
      </c>
      <c r="D48" s="70">
        <f aca="true" t="shared" si="16" ref="D48:AJ48">C48+D46</f>
        <v>-1712708.9639124803</v>
      </c>
      <c r="E48" s="70">
        <f t="shared" si="16"/>
        <v>-1701237.4017112602</v>
      </c>
      <c r="F48" s="70">
        <f>E48+F46</f>
        <v>-1688561.5118356128</v>
      </c>
      <c r="G48" s="70">
        <f>F48+G46</f>
        <v>-1675035.573789049</v>
      </c>
      <c r="H48" s="70">
        <f t="shared" si="16"/>
        <v>-1661393.7988993058</v>
      </c>
      <c r="I48" s="70">
        <f t="shared" si="16"/>
        <v>-1647789.3389619244</v>
      </c>
      <c r="J48" s="70">
        <f t="shared" si="16"/>
        <v>-1634184.8790245433</v>
      </c>
      <c r="K48" s="70">
        <f t="shared" si="16"/>
        <v>-1620580.4190871622</v>
      </c>
      <c r="L48" s="70">
        <f t="shared" si="16"/>
        <v>-1606975.9591497811</v>
      </c>
      <c r="M48" s="70">
        <f t="shared" si="16"/>
        <v>-1593371.4992124</v>
      </c>
      <c r="N48" s="70">
        <f t="shared" si="16"/>
        <v>-1579866.6192750188</v>
      </c>
      <c r="O48" s="70">
        <f t="shared" si="16"/>
        <v>-1566361.7393376376</v>
      </c>
      <c r="P48" s="70">
        <f t="shared" si="16"/>
        <v>-1552856.8594002563</v>
      </c>
      <c r="Q48" s="70">
        <f t="shared" si="16"/>
        <v>-1539351.979462875</v>
      </c>
      <c r="R48" s="70">
        <f t="shared" si="16"/>
        <v>-1575637.979525494</v>
      </c>
      <c r="S48" s="70">
        <f t="shared" si="16"/>
        <v>-1562133.0995881127</v>
      </c>
      <c r="T48" s="70">
        <f t="shared" si="16"/>
        <v>-1548628.2196507314</v>
      </c>
      <c r="U48" s="70">
        <f t="shared" si="16"/>
        <v>-1535123.3397133502</v>
      </c>
      <c r="V48" s="70">
        <f t="shared" si="16"/>
        <v>-1521618.459775969</v>
      </c>
      <c r="W48" s="70">
        <f t="shared" si="16"/>
        <v>-1508113.5798385877</v>
      </c>
      <c r="X48" s="70">
        <f t="shared" si="16"/>
        <v>-1494608.6999012064</v>
      </c>
      <c r="Y48" s="70">
        <f t="shared" si="16"/>
        <v>-1481103.8199638252</v>
      </c>
      <c r="Z48" s="70">
        <f t="shared" si="16"/>
        <v>-1467598.940026444</v>
      </c>
      <c r="AA48" s="70">
        <f t="shared" si="16"/>
        <v>-1454094.0600890627</v>
      </c>
      <c r="AB48" s="70">
        <f t="shared" si="16"/>
        <v>-1440589.1801516814</v>
      </c>
      <c r="AC48" s="70">
        <f t="shared" si="16"/>
        <v>-1427084.3002143002</v>
      </c>
      <c r="AD48" s="70">
        <f t="shared" si="16"/>
        <v>-1413579.420276919</v>
      </c>
      <c r="AE48" s="70">
        <f t="shared" si="16"/>
        <v>-1400074.5403395377</v>
      </c>
      <c r="AF48" s="70">
        <f t="shared" si="16"/>
        <v>-1386569.6604021564</v>
      </c>
      <c r="AG48" s="70">
        <f t="shared" si="16"/>
        <v>-1368085.6904647753</v>
      </c>
      <c r="AH48" s="70">
        <f t="shared" si="16"/>
        <v>-1368085.6904647753</v>
      </c>
      <c r="AI48" s="70">
        <f t="shared" si="16"/>
        <v>-1368085.6904647753</v>
      </c>
      <c r="AJ48" s="70">
        <f t="shared" si="16"/>
        <v>-1368085.6904647753</v>
      </c>
    </row>
    <row r="49" spans="1:36" s="54" customFormat="1" ht="12.75" hidden="1">
      <c r="A49" s="70" t="s">
        <v>108</v>
      </c>
      <c r="B49" s="70">
        <f>B47</f>
        <v>-168765.7082562633</v>
      </c>
      <c r="C49" s="70">
        <f>B49+C47</f>
        <v>-279857.0334792752</v>
      </c>
      <c r="D49" s="70">
        <f aca="true" t="shared" si="17" ref="D49:AJ49">C49+D47</f>
        <v>-325932.40875506186</v>
      </c>
      <c r="E49" s="70">
        <f t="shared" si="17"/>
        <v>-314460.8465538417</v>
      </c>
      <c r="F49" s="70">
        <f>E49+F47</f>
        <v>-301784.9566781944</v>
      </c>
      <c r="G49" s="70">
        <f>F49+G47</f>
        <v>-288259.0186316306</v>
      </c>
      <c r="H49" s="70">
        <f t="shared" si="17"/>
        <v>-274617.2437418874</v>
      </c>
      <c r="I49" s="70">
        <f t="shared" si="17"/>
        <v>-261012.78380450618</v>
      </c>
      <c r="J49" s="70">
        <f t="shared" si="17"/>
        <v>-247408.32386712497</v>
      </c>
      <c r="K49" s="70">
        <f t="shared" si="17"/>
        <v>-233803.86392974376</v>
      </c>
      <c r="L49" s="70">
        <f t="shared" si="17"/>
        <v>-220199.40399236255</v>
      </c>
      <c r="M49" s="70">
        <f t="shared" si="17"/>
        <v>-206594.94405498134</v>
      </c>
      <c r="N49" s="70">
        <f t="shared" si="17"/>
        <v>-193090.06411760012</v>
      </c>
      <c r="O49" s="70">
        <f t="shared" si="17"/>
        <v>-179585.1841802189</v>
      </c>
      <c r="P49" s="70">
        <f t="shared" si="17"/>
        <v>-166080.30424283768</v>
      </c>
      <c r="Q49" s="70">
        <f t="shared" si="17"/>
        <v>-152575.42430545646</v>
      </c>
      <c r="R49" s="70">
        <f t="shared" si="17"/>
        <v>-188861.42436807527</v>
      </c>
      <c r="S49" s="70">
        <f t="shared" si="17"/>
        <v>-175356.54443069405</v>
      </c>
      <c r="T49" s="70">
        <f t="shared" si="17"/>
        <v>-161851.66449331283</v>
      </c>
      <c r="U49" s="70">
        <f t="shared" si="17"/>
        <v>-148346.7845559316</v>
      </c>
      <c r="V49" s="70">
        <f t="shared" si="17"/>
        <v>-134841.90461855038</v>
      </c>
      <c r="W49" s="70">
        <f t="shared" si="17"/>
        <v>-121337.02468116918</v>
      </c>
      <c r="X49" s="70">
        <f t="shared" si="17"/>
        <v>-107832.14474378797</v>
      </c>
      <c r="Y49" s="70">
        <f t="shared" si="17"/>
        <v>-94327.26480640676</v>
      </c>
      <c r="Z49" s="70">
        <f t="shared" si="17"/>
        <v>-80822.38486902555</v>
      </c>
      <c r="AA49" s="70">
        <f t="shared" si="17"/>
        <v>-67317.50493164435</v>
      </c>
      <c r="AB49" s="70">
        <f t="shared" si="17"/>
        <v>-53812.62499426314</v>
      </c>
      <c r="AC49" s="70">
        <f t="shared" si="17"/>
        <v>-40307.74505688193</v>
      </c>
      <c r="AD49" s="70">
        <f t="shared" si="17"/>
        <v>-26802.865119500722</v>
      </c>
      <c r="AE49" s="70">
        <f t="shared" si="17"/>
        <v>-13297.985182119512</v>
      </c>
      <c r="AF49" s="70">
        <f t="shared" si="17"/>
        <v>206.89475526169917</v>
      </c>
      <c r="AG49" s="70">
        <f t="shared" si="17"/>
        <v>18690.86469264291</v>
      </c>
      <c r="AH49" s="70">
        <f t="shared" si="17"/>
        <v>18690.86469264291</v>
      </c>
      <c r="AI49" s="70">
        <f t="shared" si="17"/>
        <v>18690.86469264291</v>
      </c>
      <c r="AJ49" s="70">
        <f t="shared" si="17"/>
        <v>18690.86469264291</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111</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110</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0</v>
      </c>
      <c r="AG52" s="70">
        <f t="shared" si="18"/>
        <v>0</v>
      </c>
      <c r="AH52" s="70">
        <f t="shared" si="18"/>
        <v>0</v>
      </c>
      <c r="AI52" s="70">
        <f t="shared" si="18"/>
        <v>0</v>
      </c>
      <c r="AJ52" s="70">
        <f t="shared" si="18"/>
        <v>0</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7" t="s">
        <v>20</v>
      </c>
      <c r="B54" s="148">
        <f>IRR(B46:AJ46,-0.05)</f>
        <v>-0.07809160735444454</v>
      </c>
      <c r="C54" s="147" t="s">
        <v>19</v>
      </c>
      <c r="D54" s="148">
        <f>IRR(B47:AJ47,0.06)</f>
        <v>0.0033473315191627773</v>
      </c>
      <c r="E54" s="70"/>
      <c r="G54" s="147" t="s">
        <v>112</v>
      </c>
      <c r="H54" s="146" t="str">
        <f>IF(SUM(B51:AJ51)&gt;=35,"&gt;35 rokov",SUM(B51:AJ51)&amp;" rokov")</f>
        <v>&gt;35 rokov</v>
      </c>
      <c r="J54" s="70"/>
      <c r="K54" s="147" t="s">
        <v>113</v>
      </c>
      <c r="L54" s="146" t="str">
        <f>IF(SUM(B52:AJ52)&gt;=35,"&gt;35 rokov",SUM(B52:AJ52)&amp;" rokov")</f>
        <v>30 rokov</v>
      </c>
      <c r="M54" s="54" t="s">
        <v>120</v>
      </c>
      <c r="N54" s="146">
        <f>SUMIF(B24:AJ24,"&lt;&gt;0")/COUNTIF(B24:AJ24,"&lt;&gt;0")+SUMIF(C23:AJ23,"&lt;&gt;0")/COUNTIF(B24:AJ24,"&lt;&gt;0")</f>
        <v>20535.82074076179</v>
      </c>
      <c r="O54" s="150"/>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56" r:id="rId3"/>
  <colBreaks count="1" manualBreakCount="1">
    <brk id="17" max="65535" man="1"/>
  </colBreaks>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view="pageBreakPreview" zoomScale="60" zoomScalePageLayoutView="0" workbookViewId="0" topLeftCell="A1">
      <selection activeCell="K105" sqref="K105"/>
    </sheetView>
  </sheetViews>
  <sheetFormatPr defaultColWidth="9.00390625" defaultRowHeight="12.75"/>
  <cols>
    <col min="1" max="1" width="18.875" style="207" customWidth="1"/>
    <col min="2" max="2" width="15.375" style="207" customWidth="1"/>
    <col min="3" max="3" width="15.125" style="207" bestFit="1" customWidth="1"/>
    <col min="4" max="4" width="17.125" style="207" customWidth="1"/>
    <col min="5" max="5" width="21.75390625" style="207" customWidth="1"/>
    <col min="6" max="6" width="15.25390625" style="207" customWidth="1"/>
    <col min="7" max="7" width="14.375" style="207" customWidth="1"/>
    <col min="8" max="10" width="18.875" style="207" customWidth="1"/>
    <col min="11" max="16" width="15.375" style="207" customWidth="1"/>
    <col min="17" max="17" width="12.00390625" style="207" customWidth="1"/>
    <col min="18" max="18" width="13.125" style="207" bestFit="1" customWidth="1"/>
    <col min="19" max="19" width="11.375" style="207" customWidth="1"/>
    <col min="20" max="20" width="40.00390625" style="207" hidden="1" customWidth="1"/>
    <col min="21" max="21" width="13.00390625" style="207" hidden="1" customWidth="1"/>
    <col min="22" max="22" width="17.875" style="207" hidden="1" customWidth="1"/>
    <col min="23" max="16384" width="9.125" style="207" customWidth="1"/>
  </cols>
  <sheetData>
    <row r="1" ht="12.75">
      <c r="A1" s="126" t="s">
        <v>175</v>
      </c>
    </row>
    <row r="2" ht="12.75"/>
    <row r="3" spans="1:5" ht="12.75" customHeight="1">
      <c r="A3" s="361" t="s">
        <v>296</v>
      </c>
      <c r="B3" s="361"/>
      <c r="C3" s="361"/>
      <c r="D3" s="361"/>
      <c r="E3" s="361"/>
    </row>
    <row r="4" spans="1:5" ht="52.5" customHeight="1">
      <c r="A4" s="127" t="s">
        <v>93</v>
      </c>
      <c r="B4" s="128" t="s">
        <v>176</v>
      </c>
      <c r="C4" s="128" t="s">
        <v>177</v>
      </c>
      <c r="D4" s="128" t="s">
        <v>178</v>
      </c>
      <c r="E4" s="129" t="s">
        <v>94</v>
      </c>
    </row>
    <row r="5" spans="1:5" ht="26.25" customHeight="1">
      <c r="A5" s="130" t="s">
        <v>123</v>
      </c>
      <c r="B5" s="280">
        <v>1614087.5</v>
      </c>
      <c r="C5" s="280">
        <v>59417.11</v>
      </c>
      <c r="D5" s="189">
        <f>B5+C5</f>
        <v>1673504.61</v>
      </c>
      <c r="E5" s="203">
        <f>B5/B$10</f>
        <v>0.9662202452323208</v>
      </c>
    </row>
    <row r="6" spans="1:5" ht="26.25" customHeight="1">
      <c r="A6" s="130" t="s">
        <v>95</v>
      </c>
      <c r="B6" s="280">
        <v>39832.7</v>
      </c>
      <c r="C6" s="280">
        <v>0</v>
      </c>
      <c r="D6" s="189">
        <f>B6+C6</f>
        <v>39832.7</v>
      </c>
      <c r="E6" s="203">
        <f>B6/B$10</f>
        <v>0.02384453207293004</v>
      </c>
    </row>
    <row r="7" spans="1:5" ht="26.25" customHeight="1">
      <c r="A7" s="130" t="s">
        <v>125</v>
      </c>
      <c r="B7" s="280">
        <v>16596.96</v>
      </c>
      <c r="C7" s="280">
        <v>0</v>
      </c>
      <c r="D7" s="189">
        <f>B7+C7</f>
        <v>16596.96</v>
      </c>
      <c r="E7" s="203">
        <f>B7/B$10</f>
        <v>0.009935222694749212</v>
      </c>
    </row>
    <row r="8" spans="1:5" ht="26.25" customHeight="1">
      <c r="A8" s="130" t="s">
        <v>196</v>
      </c>
      <c r="B8" s="203"/>
      <c r="C8" s="188">
        <v>29856.23</v>
      </c>
      <c r="D8" s="189">
        <f>C8</f>
        <v>29856.23</v>
      </c>
      <c r="E8" s="203"/>
    </row>
    <row r="9" spans="1:5" ht="26.25" customHeight="1">
      <c r="A9" s="130" t="s">
        <v>197</v>
      </c>
      <c r="B9" s="203"/>
      <c r="C9" s="188">
        <v>0</v>
      </c>
      <c r="D9" s="189">
        <f>C9</f>
        <v>0</v>
      </c>
      <c r="E9" s="203"/>
    </row>
    <row r="10" spans="1:5" ht="12.75">
      <c r="A10" s="130" t="s">
        <v>35</v>
      </c>
      <c r="B10" s="190">
        <f>SUM(B5:B7)</f>
        <v>1670517.16</v>
      </c>
      <c r="C10" s="190">
        <f>SUM(C5:C9)</f>
        <v>89273.34</v>
      </c>
      <c r="D10" s="190">
        <f>SUM(D5:D9)</f>
        <v>1759790.5</v>
      </c>
      <c r="E10" s="204">
        <f>SUM(E5:E7)</f>
        <v>1</v>
      </c>
    </row>
    <row r="11" ht="12.75"/>
    <row r="12" ht="12.75"/>
    <row r="13" ht="13.5">
      <c r="A13" s="208" t="s">
        <v>96</v>
      </c>
    </row>
    <row r="14" ht="12.75"/>
    <row r="15" spans="1:5" ht="38.25">
      <c r="A15" s="131" t="s">
        <v>97</v>
      </c>
      <c r="B15" s="128" t="s">
        <v>98</v>
      </c>
      <c r="C15" s="128" t="s">
        <v>176</v>
      </c>
      <c r="D15" s="128" t="s">
        <v>99</v>
      </c>
      <c r="E15" s="128" t="s">
        <v>177</v>
      </c>
    </row>
    <row r="16" spans="1:5" ht="12.75">
      <c r="A16" s="132">
        <f>'Peňažné toky projektu'!B14</f>
        <v>2011</v>
      </c>
      <c r="B16" s="144">
        <v>0.4</v>
      </c>
      <c r="C16" s="191">
        <f>$B$10*B16</f>
        <v>668206.8640000001</v>
      </c>
      <c r="D16" s="144">
        <v>0.8</v>
      </c>
      <c r="E16" s="191">
        <f>(SUM(C$5:C$8))*D16</f>
        <v>71418.672</v>
      </c>
    </row>
    <row r="17" spans="1:5" ht="12.75">
      <c r="A17" s="132">
        <f>A16+1</f>
        <v>2012</v>
      </c>
      <c r="B17" s="144">
        <v>0.4</v>
      </c>
      <c r="C17" s="191">
        <f aca="true" t="shared" si="0" ref="C17:C24">$B$10*B17</f>
        <v>668206.8640000001</v>
      </c>
      <c r="D17" s="144">
        <v>0.2</v>
      </c>
      <c r="E17" s="191">
        <f aca="true" t="shared" si="1" ref="E17:E23">(SUM(C$5:C$8))*D17</f>
        <v>17854.668</v>
      </c>
    </row>
    <row r="18" spans="1:5" ht="12.75">
      <c r="A18" s="132">
        <f aca="true" t="shared" si="2" ref="A18:A23">A17+1</f>
        <v>2013</v>
      </c>
      <c r="B18" s="144">
        <v>0.2</v>
      </c>
      <c r="C18" s="191">
        <f t="shared" si="0"/>
        <v>334103.43200000003</v>
      </c>
      <c r="D18" s="144">
        <v>0</v>
      </c>
      <c r="E18" s="191">
        <f t="shared" si="1"/>
        <v>0</v>
      </c>
    </row>
    <row r="19" spans="1:5" ht="12.75">
      <c r="A19" s="132">
        <f t="shared" si="2"/>
        <v>2014</v>
      </c>
      <c r="B19" s="144">
        <v>0</v>
      </c>
      <c r="C19" s="191">
        <f t="shared" si="0"/>
        <v>0</v>
      </c>
      <c r="D19" s="144">
        <v>0</v>
      </c>
      <c r="E19" s="191">
        <f t="shared" si="1"/>
        <v>0</v>
      </c>
    </row>
    <row r="20" spans="1:5" ht="12.75">
      <c r="A20" s="132">
        <f t="shared" si="2"/>
        <v>2015</v>
      </c>
      <c r="B20" s="144">
        <v>0</v>
      </c>
      <c r="C20" s="191">
        <f t="shared" si="0"/>
        <v>0</v>
      </c>
      <c r="D20" s="144">
        <v>0</v>
      </c>
      <c r="E20" s="191">
        <f t="shared" si="1"/>
        <v>0</v>
      </c>
    </row>
    <row r="21" spans="1:5" ht="12.75">
      <c r="A21" s="132">
        <f t="shared" si="2"/>
        <v>2016</v>
      </c>
      <c r="B21" s="144">
        <v>0</v>
      </c>
      <c r="C21" s="191">
        <f t="shared" si="0"/>
        <v>0</v>
      </c>
      <c r="D21" s="144">
        <v>0</v>
      </c>
      <c r="E21" s="191">
        <f t="shared" si="1"/>
        <v>0</v>
      </c>
    </row>
    <row r="22" spans="1:5" ht="12.75">
      <c r="A22" s="132">
        <f t="shared" si="2"/>
        <v>2017</v>
      </c>
      <c r="B22" s="144">
        <v>0</v>
      </c>
      <c r="C22" s="191">
        <f t="shared" si="0"/>
        <v>0</v>
      </c>
      <c r="D22" s="144">
        <v>0</v>
      </c>
      <c r="E22" s="191">
        <f t="shared" si="1"/>
        <v>0</v>
      </c>
    </row>
    <row r="23" spans="1:5" ht="12.75">
      <c r="A23" s="132">
        <f t="shared" si="2"/>
        <v>2018</v>
      </c>
      <c r="B23" s="144">
        <v>0</v>
      </c>
      <c r="C23" s="191">
        <f t="shared" si="0"/>
        <v>0</v>
      </c>
      <c r="D23" s="144">
        <v>0</v>
      </c>
      <c r="E23" s="191">
        <f t="shared" si="1"/>
        <v>0</v>
      </c>
    </row>
    <row r="24" spans="1:5" ht="12.75">
      <c r="A24" s="133" t="s">
        <v>35</v>
      </c>
      <c r="B24" s="134">
        <f>SUM(B16:B23)</f>
        <v>1</v>
      </c>
      <c r="C24" s="191">
        <f t="shared" si="0"/>
        <v>1670517.16</v>
      </c>
      <c r="D24" s="134">
        <f>SUM(D16:D23)</f>
        <v>1</v>
      </c>
      <c r="E24" s="191">
        <f>SUM(E16:E23)</f>
        <v>89273.34000000001</v>
      </c>
    </row>
    <row r="25" spans="1:5" ht="12.75">
      <c r="A25" s="135"/>
      <c r="B25" s="136"/>
      <c r="C25" s="137"/>
      <c r="D25" s="136"/>
      <c r="E25" s="137"/>
    </row>
    <row r="26" spans="1:5" ht="12.75">
      <c r="A26" s="135"/>
      <c r="B26" s="136"/>
      <c r="C26" s="137"/>
      <c r="D26" s="136"/>
      <c r="E26" s="137"/>
    </row>
    <row r="27" spans="1:5" ht="12.75">
      <c r="A27" s="135"/>
      <c r="B27" s="136"/>
      <c r="C27" s="137"/>
      <c r="D27" s="136"/>
      <c r="E27" s="137"/>
    </row>
    <row r="28" spans="1:5" ht="12.75" customHeight="1">
      <c r="A28" s="355" t="s">
        <v>105</v>
      </c>
      <c r="B28" s="356"/>
      <c r="C28" s="356"/>
      <c r="D28" s="356"/>
      <c r="E28" s="357"/>
    </row>
    <row r="29" spans="1:5" ht="12.75">
      <c r="A29" s="362" t="s">
        <v>179</v>
      </c>
      <c r="B29" s="362"/>
      <c r="C29" s="362"/>
      <c r="D29" s="352">
        <f>D10</f>
        <v>1759790.5</v>
      </c>
      <c r="E29" s="352"/>
    </row>
    <row r="30" spans="1:7" ht="12.75">
      <c r="A30" s="362" t="s">
        <v>180</v>
      </c>
      <c r="B30" s="362"/>
      <c r="C30" s="362"/>
      <c r="D30" s="352">
        <f>C84</f>
        <v>1502262.7045887809</v>
      </c>
      <c r="E30" s="352"/>
      <c r="G30" s="249"/>
    </row>
    <row r="31" spans="1:5" ht="12.75">
      <c r="A31" s="362" t="s">
        <v>181</v>
      </c>
      <c r="B31" s="362"/>
      <c r="C31" s="362"/>
      <c r="D31" s="352">
        <f>D29-D30</f>
        <v>257527.79541121912</v>
      </c>
      <c r="E31" s="352"/>
    </row>
    <row r="32" spans="1:6" ht="12.75">
      <c r="A32" s="362" t="s">
        <v>182</v>
      </c>
      <c r="B32" s="362"/>
      <c r="C32" s="362"/>
      <c r="D32" s="352">
        <f>D30*D33</f>
        <v>1427149.5693593419</v>
      </c>
      <c r="E32" s="352"/>
      <c r="F32" s="209"/>
    </row>
    <row r="33" spans="1:5" ht="12.75">
      <c r="A33" s="362" t="s">
        <v>104</v>
      </c>
      <c r="B33" s="362"/>
      <c r="C33" s="362"/>
      <c r="D33" s="353">
        <f>IF(AND(StatnaPomoc="áno",'Peňažné toky projektu'!C10&lt;=0),0,PercentoNFP)</f>
        <v>0.95</v>
      </c>
      <c r="E33" s="354"/>
    </row>
    <row r="34" spans="1:5" ht="12.75">
      <c r="A34" s="363" t="s">
        <v>183</v>
      </c>
      <c r="B34" s="364"/>
      <c r="C34" s="365"/>
      <c r="D34" s="330">
        <f>CelkoveOpravneneVydavky-NFP</f>
        <v>243367.59064065805</v>
      </c>
      <c r="E34" s="331"/>
    </row>
    <row r="35" spans="1:5" ht="12.75">
      <c r="A35" s="362" t="s">
        <v>184</v>
      </c>
      <c r="B35" s="362"/>
      <c r="C35" s="362"/>
      <c r="D35" s="352">
        <f>'Peňažné toky projektu'!C7</f>
        <v>153352.01666538444</v>
      </c>
      <c r="E35" s="352"/>
    </row>
    <row r="36" spans="1:5" ht="12.75">
      <c r="A36" s="137"/>
      <c r="B36" s="137"/>
      <c r="C36" s="137"/>
      <c r="D36" s="136"/>
      <c r="E36" s="137"/>
    </row>
    <row r="37" spans="1:5" ht="12.75">
      <c r="A37" s="137"/>
      <c r="B37" s="137"/>
      <c r="C37" s="137"/>
      <c r="D37" s="136"/>
      <c r="E37" s="137"/>
    </row>
    <row r="38" spans="1:9" ht="12.75">
      <c r="A38" s="355" t="s">
        <v>267</v>
      </c>
      <c r="B38" s="356"/>
      <c r="C38" s="356"/>
      <c r="D38" s="356"/>
      <c r="E38" s="357"/>
      <c r="F38" s="358" t="s">
        <v>268</v>
      </c>
      <c r="G38" s="359"/>
      <c r="H38" s="359"/>
      <c r="I38" s="360"/>
    </row>
    <row r="39" spans="1:9" ht="63.75">
      <c r="A39" s="337" t="s">
        <v>269</v>
      </c>
      <c r="B39" s="338"/>
      <c r="C39" s="339"/>
      <c r="D39" s="128" t="s">
        <v>176</v>
      </c>
      <c r="E39" s="128" t="s">
        <v>177</v>
      </c>
      <c r="F39" s="128" t="s">
        <v>270</v>
      </c>
      <c r="G39" s="128" t="s">
        <v>271</v>
      </c>
      <c r="H39" s="128" t="s">
        <v>178</v>
      </c>
      <c r="I39" s="128" t="s">
        <v>94</v>
      </c>
    </row>
    <row r="40" spans="1:9" ht="12.75">
      <c r="A40" s="336" t="s">
        <v>297</v>
      </c>
      <c r="B40" s="336"/>
      <c r="C40" s="336"/>
      <c r="D40" s="188">
        <v>1608072.22</v>
      </c>
      <c r="E40" s="188">
        <v>59417.11</v>
      </c>
      <c r="F40" s="313">
        <f>D40*IF(PevnaIntenzita="áno",1,'Peňažné toky projektu'!$C$8)</f>
        <v>1446107.217714115</v>
      </c>
      <c r="G40" s="313">
        <f>H40-F40</f>
        <v>221382.11228588503</v>
      </c>
      <c r="H40" s="189">
        <f>D40+E40</f>
        <v>1667489.33</v>
      </c>
      <c r="I40" s="203">
        <f>F40/F$73</f>
        <v>0.9626193962592998</v>
      </c>
    </row>
    <row r="41" spans="1:9" ht="12.75">
      <c r="A41" s="336" t="s">
        <v>298</v>
      </c>
      <c r="B41" s="336"/>
      <c r="C41" s="336"/>
      <c r="D41" s="188">
        <v>1974.93</v>
      </c>
      <c r="E41" s="188">
        <v>0</v>
      </c>
      <c r="F41" s="313">
        <f>D41*IF(PevnaIntenzita="áno",1,'Peňažné toky projektu'!$C$8)</f>
        <v>1776.0150893472542</v>
      </c>
      <c r="G41" s="313">
        <f aca="true" t="shared" si="3" ref="G41:G72">H41-F41</f>
        <v>198.9149106527459</v>
      </c>
      <c r="H41" s="189">
        <f aca="true" t="shared" si="4" ref="H41:H70">D41+E41</f>
        <v>1974.93</v>
      </c>
      <c r="I41" s="203">
        <f aca="true" t="shared" si="5" ref="I41:I70">F41/F$73</f>
        <v>0.0011822267063691823</v>
      </c>
    </row>
    <row r="42" spans="1:9" ht="12.75">
      <c r="A42" s="336" t="s">
        <v>299</v>
      </c>
      <c r="B42" s="336"/>
      <c r="C42" s="336"/>
      <c r="D42" s="188">
        <v>377.4</v>
      </c>
      <c r="E42" s="188">
        <v>0</v>
      </c>
      <c r="F42" s="313">
        <f>D42*IF(PevnaIntenzita="áno",1,'Peňažné toky projektu'!$C$8)</f>
        <v>339.38827944264034</v>
      </c>
      <c r="G42" s="313">
        <f t="shared" si="3"/>
        <v>38.01172055735964</v>
      </c>
      <c r="H42" s="189">
        <f t="shared" si="4"/>
        <v>377.4</v>
      </c>
      <c r="I42" s="203">
        <f t="shared" si="5"/>
        <v>0.00022591806240410006</v>
      </c>
    </row>
    <row r="43" spans="1:9" ht="12.75">
      <c r="A43" s="336" t="s">
        <v>300</v>
      </c>
      <c r="B43" s="336"/>
      <c r="C43" s="336"/>
      <c r="D43" s="188">
        <v>42.29</v>
      </c>
      <c r="E43" s="188">
        <v>0</v>
      </c>
      <c r="F43" s="313">
        <f>D43*IF(PevnaIntenzita="áno",1,'Peňažné toky projektu'!$C$8)</f>
        <v>38.0305520339938</v>
      </c>
      <c r="G43" s="313">
        <f t="shared" si="3"/>
        <v>4.259447966006199</v>
      </c>
      <c r="H43" s="189">
        <f t="shared" si="4"/>
        <v>42.29</v>
      </c>
      <c r="I43" s="203">
        <f t="shared" si="5"/>
        <v>2.5315513670030184E-05</v>
      </c>
    </row>
    <row r="44" spans="1:9" ht="12.75">
      <c r="A44" s="336" t="s">
        <v>301</v>
      </c>
      <c r="B44" s="336"/>
      <c r="C44" s="336"/>
      <c r="D44" s="188">
        <v>2677.14</v>
      </c>
      <c r="E44" s="188">
        <v>0</v>
      </c>
      <c r="F44" s="313">
        <f>D44*IF(PevnaIntenzita="áno",1,'Peňažné toky projektu'!$C$8)</f>
        <v>2407.4985119954163</v>
      </c>
      <c r="G44" s="313">
        <f t="shared" si="3"/>
        <v>269.6414880045836</v>
      </c>
      <c r="H44" s="189">
        <f t="shared" si="4"/>
        <v>2677.14</v>
      </c>
      <c r="I44" s="203">
        <f t="shared" si="5"/>
        <v>0.0016025815622271128</v>
      </c>
    </row>
    <row r="45" spans="1:9" ht="12.75">
      <c r="A45" s="336" t="s">
        <v>302</v>
      </c>
      <c r="B45" s="336"/>
      <c r="C45" s="336"/>
      <c r="D45" s="188">
        <v>943.52</v>
      </c>
      <c r="E45" s="188">
        <v>0</v>
      </c>
      <c r="F45" s="313">
        <f>D45*IF(PevnaIntenzita="áno",1,'Peňažné toky projektu'!$C$8)</f>
        <v>848.4886842069952</v>
      </c>
      <c r="G45" s="313">
        <f t="shared" si="3"/>
        <v>95.03131579300475</v>
      </c>
      <c r="H45" s="189">
        <f t="shared" si="4"/>
        <v>943.52</v>
      </c>
      <c r="I45" s="203">
        <f t="shared" si="5"/>
        <v>0.0005648071283506001</v>
      </c>
    </row>
    <row r="46" spans="1:9" ht="12.75">
      <c r="A46" s="336" t="s">
        <v>272</v>
      </c>
      <c r="B46" s="336"/>
      <c r="C46" s="336"/>
      <c r="D46" s="188">
        <v>0</v>
      </c>
      <c r="E46" s="188">
        <v>0</v>
      </c>
      <c r="F46" s="313">
        <f>D46*IF(PevnaIntenzita="áno",1,'Peňažné toky projektu'!$C$8)</f>
        <v>0</v>
      </c>
      <c r="G46" s="313">
        <f t="shared" si="3"/>
        <v>0</v>
      </c>
      <c r="H46" s="189">
        <f t="shared" si="4"/>
        <v>0</v>
      </c>
      <c r="I46" s="203">
        <f t="shared" si="5"/>
        <v>0</v>
      </c>
    </row>
    <row r="47" spans="1:9" ht="12.75">
      <c r="A47" s="336" t="s">
        <v>273</v>
      </c>
      <c r="B47" s="336"/>
      <c r="C47" s="336"/>
      <c r="D47" s="188">
        <v>0</v>
      </c>
      <c r="E47" s="188">
        <v>0</v>
      </c>
      <c r="F47" s="313">
        <f>D47*IF(PevnaIntenzita="áno",1,'Peňažné toky projektu'!$C$8)</f>
        <v>0</v>
      </c>
      <c r="G47" s="313">
        <f t="shared" si="3"/>
        <v>0</v>
      </c>
      <c r="H47" s="189">
        <f t="shared" si="4"/>
        <v>0</v>
      </c>
      <c r="I47" s="203">
        <f t="shared" si="5"/>
        <v>0</v>
      </c>
    </row>
    <row r="48" spans="1:9" ht="12.75">
      <c r="A48" s="336" t="s">
        <v>274</v>
      </c>
      <c r="B48" s="336"/>
      <c r="C48" s="336"/>
      <c r="D48" s="188">
        <v>0</v>
      </c>
      <c r="E48" s="188">
        <v>0</v>
      </c>
      <c r="F48" s="313">
        <f>D48*IF(PevnaIntenzita="áno",1,'Peňažné toky projektu'!$C$8)</f>
        <v>0</v>
      </c>
      <c r="G48" s="313">
        <f t="shared" si="3"/>
        <v>0</v>
      </c>
      <c r="H48" s="189">
        <f t="shared" si="4"/>
        <v>0</v>
      </c>
      <c r="I48" s="203">
        <f t="shared" si="5"/>
        <v>0</v>
      </c>
    </row>
    <row r="49" spans="1:9" ht="12.75" hidden="1">
      <c r="A49" s="336" t="s">
        <v>275</v>
      </c>
      <c r="B49" s="336"/>
      <c r="C49" s="336"/>
      <c r="D49" s="188">
        <v>0</v>
      </c>
      <c r="E49" s="188">
        <v>0</v>
      </c>
      <c r="F49" s="313">
        <f>D49*IF(PevnaIntenzita="áno",1,'Peňažné toky projektu'!$C$8)</f>
        <v>0</v>
      </c>
      <c r="G49" s="313">
        <f t="shared" si="3"/>
        <v>0</v>
      </c>
      <c r="H49" s="189">
        <f t="shared" si="4"/>
        <v>0</v>
      </c>
      <c r="I49" s="203">
        <f t="shared" si="5"/>
        <v>0</v>
      </c>
    </row>
    <row r="50" spans="1:9" ht="12.75" hidden="1">
      <c r="A50" s="336" t="s">
        <v>276</v>
      </c>
      <c r="B50" s="336"/>
      <c r="C50" s="336"/>
      <c r="D50" s="188">
        <v>0</v>
      </c>
      <c r="E50" s="188">
        <v>0</v>
      </c>
      <c r="F50" s="313">
        <f>D50*IF(PevnaIntenzita="áno",1,'Peňažné toky projektu'!$C$8)</f>
        <v>0</v>
      </c>
      <c r="G50" s="313">
        <f t="shared" si="3"/>
        <v>0</v>
      </c>
      <c r="H50" s="189">
        <f t="shared" si="4"/>
        <v>0</v>
      </c>
      <c r="I50" s="203">
        <f t="shared" si="5"/>
        <v>0</v>
      </c>
    </row>
    <row r="51" spans="1:9" ht="12.75" hidden="1">
      <c r="A51" s="336" t="s">
        <v>277</v>
      </c>
      <c r="B51" s="336"/>
      <c r="C51" s="336"/>
      <c r="D51" s="188">
        <v>0</v>
      </c>
      <c r="E51" s="188">
        <v>0</v>
      </c>
      <c r="F51" s="313">
        <f>D51*IF(PevnaIntenzita="áno",1,'Peňažné toky projektu'!$C$8)</f>
        <v>0</v>
      </c>
      <c r="G51" s="313">
        <f t="shared" si="3"/>
        <v>0</v>
      </c>
      <c r="H51" s="189">
        <f t="shared" si="4"/>
        <v>0</v>
      </c>
      <c r="I51" s="203">
        <f t="shared" si="5"/>
        <v>0</v>
      </c>
    </row>
    <row r="52" spans="1:9" ht="12.75" hidden="1">
      <c r="A52" s="336" t="s">
        <v>278</v>
      </c>
      <c r="B52" s="336"/>
      <c r="C52" s="336"/>
      <c r="D52" s="188">
        <v>0</v>
      </c>
      <c r="E52" s="188">
        <v>0</v>
      </c>
      <c r="F52" s="313">
        <f>D52*IF(PevnaIntenzita="áno",1,'Peňažné toky projektu'!$C$8)</f>
        <v>0</v>
      </c>
      <c r="G52" s="313">
        <f t="shared" si="3"/>
        <v>0</v>
      </c>
      <c r="H52" s="189">
        <f t="shared" si="4"/>
        <v>0</v>
      </c>
      <c r="I52" s="203">
        <f t="shared" si="5"/>
        <v>0</v>
      </c>
    </row>
    <row r="53" spans="1:9" ht="12.75" hidden="1">
      <c r="A53" s="336" t="s">
        <v>279</v>
      </c>
      <c r="B53" s="336"/>
      <c r="C53" s="336"/>
      <c r="D53" s="188">
        <v>0</v>
      </c>
      <c r="E53" s="188">
        <v>0</v>
      </c>
      <c r="F53" s="313">
        <f>D53*IF(PevnaIntenzita="áno",1,'Peňažné toky projektu'!$C$8)</f>
        <v>0</v>
      </c>
      <c r="G53" s="313">
        <f t="shared" si="3"/>
        <v>0</v>
      </c>
      <c r="H53" s="189">
        <f t="shared" si="4"/>
        <v>0</v>
      </c>
      <c r="I53" s="203">
        <f t="shared" si="5"/>
        <v>0</v>
      </c>
    </row>
    <row r="54" spans="1:9" ht="12.75" hidden="1">
      <c r="A54" s="336" t="s">
        <v>280</v>
      </c>
      <c r="B54" s="336"/>
      <c r="C54" s="336"/>
      <c r="D54" s="188">
        <v>0</v>
      </c>
      <c r="E54" s="188">
        <v>0</v>
      </c>
      <c r="F54" s="313">
        <f>D54*IF(PevnaIntenzita="áno",1,'Peňažné toky projektu'!$C$8)</f>
        <v>0</v>
      </c>
      <c r="G54" s="313">
        <f t="shared" si="3"/>
        <v>0</v>
      </c>
      <c r="H54" s="189">
        <f t="shared" si="4"/>
        <v>0</v>
      </c>
      <c r="I54" s="203">
        <f t="shared" si="5"/>
        <v>0</v>
      </c>
    </row>
    <row r="55" spans="1:9" ht="12.75" hidden="1">
      <c r="A55" s="336" t="s">
        <v>281</v>
      </c>
      <c r="B55" s="336"/>
      <c r="C55" s="336"/>
      <c r="D55" s="188">
        <v>0</v>
      </c>
      <c r="E55" s="188">
        <v>0</v>
      </c>
      <c r="F55" s="313">
        <f>D55*IF(PevnaIntenzita="áno",1,'Peňažné toky projektu'!$C$8)</f>
        <v>0</v>
      </c>
      <c r="G55" s="313">
        <f t="shared" si="3"/>
        <v>0</v>
      </c>
      <c r="H55" s="189">
        <f t="shared" si="4"/>
        <v>0</v>
      </c>
      <c r="I55" s="203">
        <f t="shared" si="5"/>
        <v>0</v>
      </c>
    </row>
    <row r="56" spans="1:9" ht="12.75" hidden="1">
      <c r="A56" s="336" t="s">
        <v>282</v>
      </c>
      <c r="B56" s="336"/>
      <c r="C56" s="336"/>
      <c r="D56" s="188">
        <v>0</v>
      </c>
      <c r="E56" s="188">
        <v>0</v>
      </c>
      <c r="F56" s="313">
        <f>D56*IF(PevnaIntenzita="áno",1,'Peňažné toky projektu'!$C$8)</f>
        <v>0</v>
      </c>
      <c r="G56" s="313">
        <f t="shared" si="3"/>
        <v>0</v>
      </c>
      <c r="H56" s="189">
        <f t="shared" si="4"/>
        <v>0</v>
      </c>
      <c r="I56" s="203">
        <f t="shared" si="5"/>
        <v>0</v>
      </c>
    </row>
    <row r="57" spans="1:9" ht="12.75" hidden="1">
      <c r="A57" s="336" t="s">
        <v>283</v>
      </c>
      <c r="B57" s="336"/>
      <c r="C57" s="336"/>
      <c r="D57" s="188">
        <v>0</v>
      </c>
      <c r="E57" s="188">
        <v>0</v>
      </c>
      <c r="F57" s="313">
        <f>D57*IF(PevnaIntenzita="áno",1,'Peňažné toky projektu'!$C$8)</f>
        <v>0</v>
      </c>
      <c r="G57" s="313">
        <f t="shared" si="3"/>
        <v>0</v>
      </c>
      <c r="H57" s="189">
        <f t="shared" si="4"/>
        <v>0</v>
      </c>
      <c r="I57" s="203">
        <f t="shared" si="5"/>
        <v>0</v>
      </c>
    </row>
    <row r="58" spans="1:9" ht="12.75" hidden="1">
      <c r="A58" s="336" t="s">
        <v>284</v>
      </c>
      <c r="B58" s="336"/>
      <c r="C58" s="336"/>
      <c r="D58" s="188">
        <v>0</v>
      </c>
      <c r="E58" s="188">
        <v>0</v>
      </c>
      <c r="F58" s="313">
        <f>D58*IF(PevnaIntenzita="áno",1,'Peňažné toky projektu'!$C$8)</f>
        <v>0</v>
      </c>
      <c r="G58" s="313">
        <f t="shared" si="3"/>
        <v>0</v>
      </c>
      <c r="H58" s="189">
        <f t="shared" si="4"/>
        <v>0</v>
      </c>
      <c r="I58" s="203">
        <f t="shared" si="5"/>
        <v>0</v>
      </c>
    </row>
    <row r="59" spans="1:9" ht="12.75" hidden="1">
      <c r="A59" s="336" t="s">
        <v>285</v>
      </c>
      <c r="B59" s="336"/>
      <c r="C59" s="336"/>
      <c r="D59" s="188">
        <v>0</v>
      </c>
      <c r="E59" s="188">
        <v>0</v>
      </c>
      <c r="F59" s="313">
        <f>D59*IF(PevnaIntenzita="áno",1,'Peňažné toky projektu'!$C$8)</f>
        <v>0</v>
      </c>
      <c r="G59" s="313">
        <f t="shared" si="3"/>
        <v>0</v>
      </c>
      <c r="H59" s="189">
        <f t="shared" si="4"/>
        <v>0</v>
      </c>
      <c r="I59" s="203">
        <f t="shared" si="5"/>
        <v>0</v>
      </c>
    </row>
    <row r="60" spans="1:9" ht="12.75" hidden="1">
      <c r="A60" s="336" t="s">
        <v>286</v>
      </c>
      <c r="B60" s="336"/>
      <c r="C60" s="336"/>
      <c r="D60" s="188">
        <v>0</v>
      </c>
      <c r="E60" s="188">
        <v>0</v>
      </c>
      <c r="F60" s="313">
        <f>D60*IF(PevnaIntenzita="áno",1,'Peňažné toky projektu'!$C$8)</f>
        <v>0</v>
      </c>
      <c r="G60" s="313">
        <f t="shared" si="3"/>
        <v>0</v>
      </c>
      <c r="H60" s="189">
        <f t="shared" si="4"/>
        <v>0</v>
      </c>
      <c r="I60" s="203">
        <f t="shared" si="5"/>
        <v>0</v>
      </c>
    </row>
    <row r="61" spans="1:9" ht="12.75" hidden="1">
      <c r="A61" s="336" t="s">
        <v>287</v>
      </c>
      <c r="B61" s="336"/>
      <c r="C61" s="336"/>
      <c r="D61" s="188">
        <v>0</v>
      </c>
      <c r="E61" s="188">
        <v>0</v>
      </c>
      <c r="F61" s="313">
        <f>D61*IF(PevnaIntenzita="áno",1,'Peňažné toky projektu'!$C$8)</f>
        <v>0</v>
      </c>
      <c r="G61" s="313">
        <f t="shared" si="3"/>
        <v>0</v>
      </c>
      <c r="H61" s="189">
        <f t="shared" si="4"/>
        <v>0</v>
      </c>
      <c r="I61" s="203">
        <f t="shared" si="5"/>
        <v>0</v>
      </c>
    </row>
    <row r="62" spans="1:9" ht="12.75" hidden="1">
      <c r="A62" s="336" t="s">
        <v>288</v>
      </c>
      <c r="B62" s="336"/>
      <c r="C62" s="336"/>
      <c r="D62" s="188">
        <v>0</v>
      </c>
      <c r="E62" s="188">
        <v>0</v>
      </c>
      <c r="F62" s="313">
        <f>D62*IF(PevnaIntenzita="áno",1,'Peňažné toky projektu'!$C$8)</f>
        <v>0</v>
      </c>
      <c r="G62" s="313">
        <f t="shared" si="3"/>
        <v>0</v>
      </c>
      <c r="H62" s="189">
        <f t="shared" si="4"/>
        <v>0</v>
      </c>
      <c r="I62" s="203">
        <f t="shared" si="5"/>
        <v>0</v>
      </c>
    </row>
    <row r="63" spans="1:9" ht="12.75" hidden="1">
      <c r="A63" s="336" t="s">
        <v>289</v>
      </c>
      <c r="B63" s="336"/>
      <c r="C63" s="336"/>
      <c r="D63" s="188">
        <v>0</v>
      </c>
      <c r="E63" s="188">
        <v>0</v>
      </c>
      <c r="F63" s="313">
        <f>D63*IF(PevnaIntenzita="áno",1,'Peňažné toky projektu'!$C$8)</f>
        <v>0</v>
      </c>
      <c r="G63" s="313">
        <f t="shared" si="3"/>
        <v>0</v>
      </c>
      <c r="H63" s="189">
        <f t="shared" si="4"/>
        <v>0</v>
      </c>
      <c r="I63" s="203">
        <f t="shared" si="5"/>
        <v>0</v>
      </c>
    </row>
    <row r="64" spans="1:9" ht="12.75" hidden="1">
      <c r="A64" s="336" t="s">
        <v>290</v>
      </c>
      <c r="B64" s="336"/>
      <c r="C64" s="336"/>
      <c r="D64" s="188">
        <v>0</v>
      </c>
      <c r="E64" s="188">
        <v>0</v>
      </c>
      <c r="F64" s="313">
        <f>D64*IF(PevnaIntenzita="áno",1,'Peňažné toky projektu'!$C$8)</f>
        <v>0</v>
      </c>
      <c r="G64" s="313">
        <f t="shared" si="3"/>
        <v>0</v>
      </c>
      <c r="H64" s="189">
        <f t="shared" si="4"/>
        <v>0</v>
      </c>
      <c r="I64" s="203">
        <f t="shared" si="5"/>
        <v>0</v>
      </c>
    </row>
    <row r="65" spans="1:9" ht="12.75" hidden="1">
      <c r="A65" s="336" t="s">
        <v>291</v>
      </c>
      <c r="B65" s="336"/>
      <c r="C65" s="336"/>
      <c r="D65" s="188">
        <v>0</v>
      </c>
      <c r="E65" s="188">
        <v>0</v>
      </c>
      <c r="F65" s="313">
        <f>D65*IF(PevnaIntenzita="áno",1,'Peňažné toky projektu'!$C$8)</f>
        <v>0</v>
      </c>
      <c r="G65" s="313">
        <f>H65-F65</f>
        <v>0</v>
      </c>
      <c r="H65" s="189">
        <f t="shared" si="4"/>
        <v>0</v>
      </c>
      <c r="I65" s="203">
        <f>F65/F$73</f>
        <v>0</v>
      </c>
    </row>
    <row r="66" spans="1:9" ht="12.75" hidden="1">
      <c r="A66" s="336" t="s">
        <v>292</v>
      </c>
      <c r="B66" s="336"/>
      <c r="C66" s="336"/>
      <c r="D66" s="188">
        <v>0</v>
      </c>
      <c r="E66" s="188">
        <v>0</v>
      </c>
      <c r="F66" s="313">
        <f>D66*IF(PevnaIntenzita="áno",1,'Peňažné toky projektu'!$C$8)</f>
        <v>0</v>
      </c>
      <c r="G66" s="313">
        <f>H66-F66</f>
        <v>0</v>
      </c>
      <c r="H66" s="189">
        <f t="shared" si="4"/>
        <v>0</v>
      </c>
      <c r="I66" s="203">
        <f>F66/F$73</f>
        <v>0</v>
      </c>
    </row>
    <row r="67" spans="1:9" ht="12.75" hidden="1">
      <c r="A67" s="336" t="s">
        <v>293</v>
      </c>
      <c r="B67" s="336"/>
      <c r="C67" s="336"/>
      <c r="D67" s="188">
        <v>0</v>
      </c>
      <c r="E67" s="188">
        <v>0</v>
      </c>
      <c r="F67" s="313">
        <f>D67*IF(PevnaIntenzita="áno",1,'Peňažné toky projektu'!$C$8)</f>
        <v>0</v>
      </c>
      <c r="G67" s="313">
        <f>H67-F67</f>
        <v>0</v>
      </c>
      <c r="H67" s="189">
        <f t="shared" si="4"/>
        <v>0</v>
      </c>
      <c r="I67" s="203">
        <f>F67/F$73</f>
        <v>0</v>
      </c>
    </row>
    <row r="68" spans="1:9" ht="12.75" hidden="1">
      <c r="A68" s="336" t="s">
        <v>294</v>
      </c>
      <c r="B68" s="336"/>
      <c r="C68" s="336"/>
      <c r="D68" s="188">
        <v>0</v>
      </c>
      <c r="E68" s="188">
        <v>0</v>
      </c>
      <c r="F68" s="313">
        <f>D68*IF(PevnaIntenzita="áno",1,'Peňažné toky projektu'!$C$8)</f>
        <v>0</v>
      </c>
      <c r="G68" s="313">
        <f>H68-F68</f>
        <v>0</v>
      </c>
      <c r="H68" s="189">
        <f t="shared" si="4"/>
        <v>0</v>
      </c>
      <c r="I68" s="203">
        <f>F68/F$73</f>
        <v>0</v>
      </c>
    </row>
    <row r="69" spans="1:9" ht="12.75" hidden="1">
      <c r="A69" s="336" t="s">
        <v>295</v>
      </c>
      <c r="B69" s="336"/>
      <c r="C69" s="336"/>
      <c r="D69" s="188">
        <v>0</v>
      </c>
      <c r="E69" s="188">
        <v>0</v>
      </c>
      <c r="F69" s="313">
        <f>D69*IF(PevnaIntenzita="áno",1,'Peňažné toky projektu'!$C$8)</f>
        <v>0</v>
      </c>
      <c r="G69" s="313">
        <f>H69-F69</f>
        <v>0</v>
      </c>
      <c r="H69" s="189">
        <f t="shared" si="4"/>
        <v>0</v>
      </c>
      <c r="I69" s="203">
        <f>F69/F$73</f>
        <v>0</v>
      </c>
    </row>
    <row r="70" spans="1:9" ht="12.75" customHeight="1">
      <c r="A70" s="366" t="s">
        <v>303</v>
      </c>
      <c r="B70" s="367"/>
      <c r="C70" s="368"/>
      <c r="D70" s="188">
        <v>39832.7</v>
      </c>
      <c r="E70" s="188">
        <v>0</v>
      </c>
      <c r="F70" s="313">
        <f>D70*IF(PevnaIntenzita="áno",1,'Peňažné toky projektu'!$C$8)</f>
        <v>35820.751241533806</v>
      </c>
      <c r="G70" s="313">
        <f t="shared" si="3"/>
        <v>4011.948758466191</v>
      </c>
      <c r="H70" s="189">
        <f t="shared" si="4"/>
        <v>39832.7</v>
      </c>
      <c r="I70" s="203">
        <f t="shared" si="5"/>
        <v>0.023844532072930035</v>
      </c>
    </row>
    <row r="71" spans="1:9" ht="12.75" customHeight="1">
      <c r="A71" s="366" t="s">
        <v>304</v>
      </c>
      <c r="B71" s="367"/>
      <c r="C71" s="368"/>
      <c r="D71" s="188">
        <v>16596.96</v>
      </c>
      <c r="E71" s="188">
        <v>0</v>
      </c>
      <c r="F71" s="313">
        <f>D71*IF(PevnaIntenzita="áno",1,'Peňažné toky projektu'!$C$8)</f>
        <v>14925.314516105786</v>
      </c>
      <c r="G71" s="313">
        <f>H71-F71</f>
        <v>1671.6454838942136</v>
      </c>
      <c r="H71" s="189">
        <f>D71+E71</f>
        <v>16596.96</v>
      </c>
      <c r="I71" s="203">
        <f>F71/F$73</f>
        <v>0.009935222694749212</v>
      </c>
    </row>
    <row r="72" spans="1:9" ht="12.75" customHeight="1">
      <c r="A72" s="366" t="s">
        <v>196</v>
      </c>
      <c r="B72" s="367"/>
      <c r="C72" s="368"/>
      <c r="D72" s="203"/>
      <c r="E72" s="188">
        <v>29856.23</v>
      </c>
      <c r="F72" s="313">
        <f>D72*IF(PevnaIntenzita="áno",1,'Peňažné toky projektu'!$C$8)</f>
        <v>0</v>
      </c>
      <c r="G72" s="313">
        <f t="shared" si="3"/>
        <v>29856.23</v>
      </c>
      <c r="H72" s="189">
        <f>E72</f>
        <v>29856.23</v>
      </c>
      <c r="I72" s="203"/>
    </row>
    <row r="73" spans="1:9" ht="12.75">
      <c r="A73" s="366" t="s">
        <v>35</v>
      </c>
      <c r="B73" s="367"/>
      <c r="C73" s="368"/>
      <c r="D73" s="189">
        <f>SUM(D40:D71)</f>
        <v>1670517.1599999997</v>
      </c>
      <c r="E73" s="189">
        <f>SUM(E40:E72)</f>
        <v>89273.34</v>
      </c>
      <c r="F73" s="190">
        <f>SUM(F40:F72)</f>
        <v>1502262.7045887809</v>
      </c>
      <c r="G73" s="190">
        <f>SUM(G40:G72)</f>
        <v>257527.79541121912</v>
      </c>
      <c r="H73" s="190">
        <f>SUM(H40:H72)</f>
        <v>1759790.4999999998</v>
      </c>
      <c r="I73" s="203">
        <f>SUM(I40:I70)</f>
        <v>0.9900647773052509</v>
      </c>
    </row>
    <row r="74" spans="1:5" ht="12.75">
      <c r="A74" s="137"/>
      <c r="B74" s="137"/>
      <c r="C74" s="137"/>
      <c r="D74" s="136"/>
      <c r="E74" s="137"/>
    </row>
    <row r="75" s="210" customFormat="1" ht="12.75" hidden="1"/>
    <row r="76" spans="1:3" s="210" customFormat="1" ht="12.75" hidden="1">
      <c r="A76" s="210" t="s">
        <v>56</v>
      </c>
      <c r="C76" s="294">
        <f>1-PercentoNFP</f>
        <v>0.050000000000000044</v>
      </c>
    </row>
    <row r="77" spans="1:3" s="210" customFormat="1" ht="12.75" hidden="1">
      <c r="A77" s="210" t="s">
        <v>86</v>
      </c>
      <c r="C77" s="295">
        <f>PodielZdrojovEU</f>
        <v>0.85</v>
      </c>
    </row>
    <row r="78" spans="1:3" s="210" customFormat="1" ht="12.75" hidden="1">
      <c r="A78" s="210" t="s">
        <v>87</v>
      </c>
      <c r="C78" s="295">
        <f>PodielZdrojovSR</f>
        <v>0.1</v>
      </c>
    </row>
    <row r="79" s="210" customFormat="1" ht="12.75" hidden="1"/>
    <row r="80" spans="1:22" s="210" customFormat="1" ht="12.75" hidden="1">
      <c r="A80" s="343" t="s">
        <v>122</v>
      </c>
      <c r="B80" s="344"/>
      <c r="C80" s="345"/>
      <c r="D80" s="333" t="s">
        <v>251</v>
      </c>
      <c r="E80" s="333" t="s">
        <v>250</v>
      </c>
      <c r="F80" s="340" t="s">
        <v>249</v>
      </c>
      <c r="G80" s="213"/>
      <c r="H80" s="214"/>
      <c r="I80" s="215"/>
      <c r="J80" s="216"/>
      <c r="T80" s="302" t="s">
        <v>253</v>
      </c>
      <c r="U80" s="303">
        <f>C84</f>
        <v>1502262.7045887809</v>
      </c>
      <c r="V80" s="304">
        <v>1</v>
      </c>
    </row>
    <row r="81" spans="1:22" s="210" customFormat="1" ht="12.75" hidden="1">
      <c r="A81" s="346"/>
      <c r="B81" s="347"/>
      <c r="C81" s="348"/>
      <c r="D81" s="334"/>
      <c r="E81" s="334"/>
      <c r="F81" s="341"/>
      <c r="G81" s="217"/>
      <c r="H81" s="218"/>
      <c r="I81" s="219"/>
      <c r="J81" s="216"/>
      <c r="T81" s="302" t="s">
        <v>254</v>
      </c>
      <c r="U81" s="303">
        <f>NFP</f>
        <v>1427149.5693593419</v>
      </c>
      <c r="V81" s="305">
        <f>U81/$U$80</f>
        <v>0.9500000000000001</v>
      </c>
    </row>
    <row r="82" spans="1:22" s="210" customFormat="1" ht="12.75" hidden="1">
      <c r="A82" s="349"/>
      <c r="B82" s="350"/>
      <c r="C82" s="351"/>
      <c r="D82" s="335"/>
      <c r="E82" s="335"/>
      <c r="F82" s="342"/>
      <c r="G82" s="220"/>
      <c r="H82" s="221" t="s">
        <v>190</v>
      </c>
      <c r="I82" s="222" t="s">
        <v>191</v>
      </c>
      <c r="T82" s="302" t="s">
        <v>255</v>
      </c>
      <c r="U82" s="303">
        <f>B86</f>
        <v>1276923.2989004636</v>
      </c>
      <c r="V82" s="305">
        <f>U82/$U$80</f>
        <v>0.8499999999999999</v>
      </c>
    </row>
    <row r="83" spans="1:22" s="210" customFormat="1" ht="12.75" hidden="1">
      <c r="A83" s="223"/>
      <c r="B83" s="224"/>
      <c r="C83" s="224"/>
      <c r="D83" s="225"/>
      <c r="E83" s="225"/>
      <c r="F83" s="226"/>
      <c r="G83" s="235" t="s">
        <v>192</v>
      </c>
      <c r="H83" s="236">
        <f>F86+F87</f>
        <v>1427149.5693593416</v>
      </c>
      <c r="I83" s="237">
        <f>SUM(F86:F88)</f>
        <v>1670517.16</v>
      </c>
      <c r="T83" s="302" t="s">
        <v>256</v>
      </c>
      <c r="U83" s="303">
        <f>B87</f>
        <v>150226.2704588781</v>
      </c>
      <c r="V83" s="305">
        <f>U83/$U$80</f>
        <v>0.1</v>
      </c>
    </row>
    <row r="84" spans="1:22" s="210" customFormat="1" ht="12.75" hidden="1">
      <c r="A84" s="227" t="s">
        <v>252</v>
      </c>
      <c r="C84" s="300">
        <f>IF(F73&gt;0,F73,CelkoveOpravneneVydavky*IF(PevnaIntenzita="áno",1,'Peňažné toky projektu'!$C$8))</f>
        <v>1502262.7045887809</v>
      </c>
      <c r="D84" s="228">
        <f>SUM(D86:D88)</f>
        <v>0.9999999999999999</v>
      </c>
      <c r="E84" s="229">
        <f>SUM(E86:E88)</f>
        <v>1</v>
      </c>
      <c r="F84" s="230"/>
      <c r="G84" s="235" t="s">
        <v>193</v>
      </c>
      <c r="H84" s="236">
        <f>NFP</f>
        <v>1427149.5693593419</v>
      </c>
      <c r="I84" s="237">
        <f>CelkoveOpravneneVydavky</f>
        <v>1670517.16</v>
      </c>
      <c r="T84" s="302" t="s">
        <v>257</v>
      </c>
      <c r="U84" s="303">
        <f>B88</f>
        <v>75113.13522943911</v>
      </c>
      <c r="V84" s="305">
        <f>U84/$U$80</f>
        <v>0.050000000000000044</v>
      </c>
    </row>
    <row r="85" spans="1:22" s="210" customFormat="1" ht="12.75" hidden="1">
      <c r="A85" s="227" t="s">
        <v>195</v>
      </c>
      <c r="C85" s="300">
        <f>NFP</f>
        <v>1427149.5693593419</v>
      </c>
      <c r="D85" s="228"/>
      <c r="E85" s="233"/>
      <c r="F85" s="234"/>
      <c r="G85" s="235" t="s">
        <v>194</v>
      </c>
      <c r="H85" s="236">
        <f>H83-H84</f>
        <v>0</v>
      </c>
      <c r="I85" s="237">
        <f>I83-I84</f>
        <v>0</v>
      </c>
      <c r="T85" s="302" t="s">
        <v>258</v>
      </c>
      <c r="U85" s="303" t="e">
        <f>#REF!</f>
        <v>#REF!</v>
      </c>
      <c r="V85" s="306"/>
    </row>
    <row r="86" spans="1:22" s="210" customFormat="1" ht="12.75" hidden="1">
      <c r="A86" s="140" t="s">
        <v>83</v>
      </c>
      <c r="B86" s="332">
        <f>IF(StatnaPomoc="nie",C84*C77,C85*C77)</f>
        <v>1276923.2989004636</v>
      </c>
      <c r="C86" s="332"/>
      <c r="D86" s="238">
        <f>B86/$C$84</f>
        <v>0.8499999999999999</v>
      </c>
      <c r="E86" s="301">
        <f>B86/CelkoveOpravneneVydavky</f>
        <v>0.7643880167627034</v>
      </c>
      <c r="F86" s="239">
        <f>E86*CelkoveOpravneneVydavky</f>
        <v>1276923.2989004636</v>
      </c>
      <c r="I86" s="232"/>
      <c r="T86" s="302" t="s">
        <v>259</v>
      </c>
      <c r="U86" s="303">
        <f>D30</f>
        <v>1502262.7045887809</v>
      </c>
      <c r="V86" s="304">
        <v>1</v>
      </c>
    </row>
    <row r="87" spans="1:22" s="210" customFormat="1" ht="12.75" hidden="1">
      <c r="A87" s="140" t="s">
        <v>84</v>
      </c>
      <c r="B87" s="332">
        <f>IF(StatnaPomoc="nie",C84*C78,C85*C78)</f>
        <v>150226.2704588781</v>
      </c>
      <c r="C87" s="332"/>
      <c r="D87" s="238">
        <f>B87/$C$84</f>
        <v>0.1</v>
      </c>
      <c r="E87" s="301">
        <f>B87/CelkoveOpravneneVydavky</f>
        <v>0.08992800197208277</v>
      </c>
      <c r="F87" s="239">
        <f>E87*CelkoveOpravneneVydavky</f>
        <v>150226.2704588781</v>
      </c>
      <c r="G87" s="231"/>
      <c r="H87" s="231"/>
      <c r="I87" s="232"/>
      <c r="T87" s="302" t="s">
        <v>260</v>
      </c>
      <c r="U87" s="303">
        <f>NFP</f>
        <v>1427149.5693593419</v>
      </c>
      <c r="V87" s="307">
        <f>U87/$U$86</f>
        <v>0.9500000000000001</v>
      </c>
    </row>
    <row r="88" spans="1:22" s="210" customFormat="1" ht="12.75" hidden="1">
      <c r="A88" s="140" t="s">
        <v>85</v>
      </c>
      <c r="B88" s="332">
        <f>C84*C76</f>
        <v>75113.13522943911</v>
      </c>
      <c r="C88" s="332"/>
      <c r="D88" s="238">
        <f>B88/$C$84</f>
        <v>0.050000000000000044</v>
      </c>
      <c r="E88" s="301">
        <f>1-(E86+E87)</f>
        <v>0.14568398126521387</v>
      </c>
      <c r="F88" s="239">
        <f>E88*CelkoveOpravneneVydavky</f>
        <v>243367.59064065828</v>
      </c>
      <c r="G88" s="240"/>
      <c r="H88" s="240"/>
      <c r="I88" s="241"/>
      <c r="T88" s="302" t="s">
        <v>261</v>
      </c>
      <c r="U88" s="303">
        <f>B86</f>
        <v>1276923.2989004636</v>
      </c>
      <c r="V88" s="307">
        <f>U88/$U$86</f>
        <v>0.8499999999999999</v>
      </c>
    </row>
    <row r="89" spans="2:22" s="210" customFormat="1" ht="12.75" hidden="1">
      <c r="B89" s="242"/>
      <c r="C89" s="242"/>
      <c r="D89" s="211"/>
      <c r="F89" s="212"/>
      <c r="G89" s="243"/>
      <c r="H89" s="244"/>
      <c r="I89" s="244"/>
      <c r="T89" s="302" t="s">
        <v>262</v>
      </c>
      <c r="U89" s="303">
        <f>B87</f>
        <v>150226.2704588781</v>
      </c>
      <c r="V89" s="307">
        <f>U89/$U$86</f>
        <v>0.1</v>
      </c>
    </row>
    <row r="90" spans="2:22" s="210" customFormat="1" ht="12.75" hidden="1">
      <c r="B90" s="242"/>
      <c r="C90" s="242"/>
      <c r="D90" s="211"/>
      <c r="F90" s="212"/>
      <c r="G90" s="243"/>
      <c r="H90" s="244"/>
      <c r="I90" s="244"/>
      <c r="T90" s="302" t="s">
        <v>263</v>
      </c>
      <c r="U90" s="303">
        <f>F88</f>
        <v>243367.59064065828</v>
      </c>
      <c r="V90" s="307">
        <f>U90/$U$86</f>
        <v>0.16200068729475386</v>
      </c>
    </row>
    <row r="91" spans="20:22" s="210" customFormat="1" ht="12.75" hidden="1">
      <c r="T91" s="302" t="s">
        <v>264</v>
      </c>
      <c r="U91" s="303">
        <f>C10</f>
        <v>89273.34</v>
      </c>
      <c r="V91" s="306"/>
    </row>
    <row r="92" spans="1:22" s="245" customFormat="1" ht="12.75" hidden="1">
      <c r="A92" s="245" t="s">
        <v>100</v>
      </c>
      <c r="E92" s="210"/>
      <c r="F92" s="210"/>
      <c r="G92" s="246"/>
      <c r="T92" s="302" t="s">
        <v>265</v>
      </c>
      <c r="U92" s="303">
        <f>D29</f>
        <v>1759790.5</v>
      </c>
      <c r="V92" s="306"/>
    </row>
    <row r="93" spans="1:7" s="245" customFormat="1" ht="12.75" hidden="1">
      <c r="A93" s="247" t="s">
        <v>101</v>
      </c>
      <c r="B93" s="248">
        <v>0.037</v>
      </c>
      <c r="F93" s="210"/>
      <c r="G93" s="210"/>
    </row>
    <row r="94" spans="1:7" s="245" customFormat="1" ht="63.75" hidden="1">
      <c r="A94" s="138" t="s">
        <v>97</v>
      </c>
      <c r="B94" s="139" t="s">
        <v>102</v>
      </c>
      <c r="C94" s="139" t="s">
        <v>176</v>
      </c>
      <c r="D94" s="139" t="s">
        <v>177</v>
      </c>
      <c r="E94" s="139" t="s">
        <v>185</v>
      </c>
      <c r="F94" s="139" t="s">
        <v>186</v>
      </c>
      <c r="G94" s="139" t="s">
        <v>187</v>
      </c>
    </row>
    <row r="95" spans="1:7" s="245" customFormat="1" ht="12.75" hidden="1">
      <c r="A95" s="140">
        <f>'Peňažné toky projektu'!B14</f>
        <v>2011</v>
      </c>
      <c r="B95" s="141">
        <v>1</v>
      </c>
      <c r="C95" s="141">
        <f aca="true" t="shared" si="6" ref="C95:C102">C16/B95</f>
        <v>668206.8640000001</v>
      </c>
      <c r="D95" s="141">
        <f aca="true" t="shared" si="7" ref="D95:D102">E16/B95</f>
        <v>71418.672</v>
      </c>
      <c r="E95" s="141">
        <f aca="true" t="shared" si="8" ref="E95:E102">($B$6+$B$7)*B16/B95</f>
        <v>22571.864</v>
      </c>
      <c r="F95" s="142">
        <f aca="true" t="shared" si="9" ref="F95:F102">($C$6+$C$7)*D16/B95</f>
        <v>0</v>
      </c>
      <c r="G95" s="141">
        <f>E95+F95</f>
        <v>22571.864</v>
      </c>
    </row>
    <row r="96" spans="1:19" s="245" customFormat="1" ht="12.75" hidden="1">
      <c r="A96" s="140">
        <f>A95+1</f>
        <v>2012</v>
      </c>
      <c r="B96" s="141">
        <f aca="true" t="shared" si="10" ref="B96:B102">POWER(1+$B$93,A96-A$95)</f>
        <v>1.037</v>
      </c>
      <c r="C96" s="142">
        <f t="shared" si="6"/>
        <v>644365.3461909355</v>
      </c>
      <c r="D96" s="142">
        <f t="shared" si="7"/>
        <v>17217.616200578595</v>
      </c>
      <c r="E96" s="142">
        <f t="shared" si="8"/>
        <v>21766.503375120545</v>
      </c>
      <c r="F96" s="142">
        <f t="shared" si="9"/>
        <v>0</v>
      </c>
      <c r="G96" s="142">
        <f aca="true" t="shared" si="11" ref="G96:G102">E96+F96</f>
        <v>21766.503375120545</v>
      </c>
      <c r="S96" s="308"/>
    </row>
    <row r="97" spans="1:7" s="245" customFormat="1" ht="12.75" hidden="1">
      <c r="A97" s="140">
        <f aca="true" t="shared" si="12" ref="A97:A102">A96+1</f>
        <v>2013</v>
      </c>
      <c r="B97" s="141">
        <f t="shared" si="10"/>
        <v>1.0753689999999998</v>
      </c>
      <c r="C97" s="142">
        <f t="shared" si="6"/>
        <v>310687.2450293807</v>
      </c>
      <c r="D97" s="142">
        <f t="shared" si="7"/>
        <v>0</v>
      </c>
      <c r="E97" s="142">
        <f t="shared" si="8"/>
        <v>10494.938946538354</v>
      </c>
      <c r="F97" s="142">
        <f t="shared" si="9"/>
        <v>0</v>
      </c>
      <c r="G97" s="142">
        <f t="shared" si="11"/>
        <v>10494.938946538354</v>
      </c>
    </row>
    <row r="98" spans="1:7" s="245" customFormat="1" ht="12.75" hidden="1">
      <c r="A98" s="140">
        <f t="shared" si="12"/>
        <v>2014</v>
      </c>
      <c r="B98" s="141">
        <f t="shared" si="10"/>
        <v>1.1151576529999998</v>
      </c>
      <c r="C98" s="142">
        <f t="shared" si="6"/>
        <v>0</v>
      </c>
      <c r="D98" s="142">
        <f t="shared" si="7"/>
        <v>0</v>
      </c>
      <c r="E98" s="142">
        <f t="shared" si="8"/>
        <v>0</v>
      </c>
      <c r="F98" s="142">
        <f t="shared" si="9"/>
        <v>0</v>
      </c>
      <c r="G98" s="142">
        <f t="shared" si="11"/>
        <v>0</v>
      </c>
    </row>
    <row r="99" spans="1:7" s="245" customFormat="1" ht="12.75" hidden="1">
      <c r="A99" s="140">
        <f t="shared" si="12"/>
        <v>2015</v>
      </c>
      <c r="B99" s="141">
        <f t="shared" si="10"/>
        <v>1.1564184861609996</v>
      </c>
      <c r="C99" s="142">
        <f t="shared" si="6"/>
        <v>0</v>
      </c>
      <c r="D99" s="142">
        <f t="shared" si="7"/>
        <v>0</v>
      </c>
      <c r="E99" s="142">
        <f t="shared" si="8"/>
        <v>0</v>
      </c>
      <c r="F99" s="142">
        <f t="shared" si="9"/>
        <v>0</v>
      </c>
      <c r="G99" s="142">
        <f t="shared" si="11"/>
        <v>0</v>
      </c>
    </row>
    <row r="100" spans="1:7" s="245" customFormat="1" ht="12.75" hidden="1">
      <c r="A100" s="140">
        <f t="shared" si="12"/>
        <v>2016</v>
      </c>
      <c r="B100" s="141">
        <f t="shared" si="10"/>
        <v>1.1992059701489566</v>
      </c>
      <c r="C100" s="142">
        <f t="shared" si="6"/>
        <v>0</v>
      </c>
      <c r="D100" s="142">
        <f t="shared" si="7"/>
        <v>0</v>
      </c>
      <c r="E100" s="142">
        <f t="shared" si="8"/>
        <v>0</v>
      </c>
      <c r="F100" s="142">
        <f t="shared" si="9"/>
        <v>0</v>
      </c>
      <c r="G100" s="142">
        <f t="shared" si="11"/>
        <v>0</v>
      </c>
    </row>
    <row r="101" spans="1:7" s="245" customFormat="1" ht="12.75" hidden="1">
      <c r="A101" s="140">
        <f t="shared" si="12"/>
        <v>2017</v>
      </c>
      <c r="B101" s="141">
        <f t="shared" si="10"/>
        <v>1.2435765910444678</v>
      </c>
      <c r="C101" s="142">
        <f t="shared" si="6"/>
        <v>0</v>
      </c>
      <c r="D101" s="142">
        <f t="shared" si="7"/>
        <v>0</v>
      </c>
      <c r="E101" s="142">
        <f t="shared" si="8"/>
        <v>0</v>
      </c>
      <c r="F101" s="142">
        <f t="shared" si="9"/>
        <v>0</v>
      </c>
      <c r="G101" s="142">
        <f t="shared" si="11"/>
        <v>0</v>
      </c>
    </row>
    <row r="102" spans="1:7" s="245" customFormat="1" ht="12.75" hidden="1">
      <c r="A102" s="140">
        <f t="shared" si="12"/>
        <v>2018</v>
      </c>
      <c r="B102" s="141">
        <f t="shared" si="10"/>
        <v>1.2895889249131132</v>
      </c>
      <c r="C102" s="142">
        <f t="shared" si="6"/>
        <v>0</v>
      </c>
      <c r="D102" s="142">
        <f t="shared" si="7"/>
        <v>0</v>
      </c>
      <c r="E102" s="142">
        <f t="shared" si="8"/>
        <v>0</v>
      </c>
      <c r="F102" s="142">
        <f t="shared" si="9"/>
        <v>0</v>
      </c>
      <c r="G102" s="142">
        <f t="shared" si="11"/>
        <v>0</v>
      </c>
    </row>
    <row r="103" spans="1:7" s="245" customFormat="1" ht="12.75" hidden="1">
      <c r="A103" s="143" t="s">
        <v>35</v>
      </c>
      <c r="B103" s="142"/>
      <c r="C103" s="141">
        <f>SUM(C95:C102)</f>
        <v>1623259.4552203163</v>
      </c>
      <c r="D103" s="141">
        <f>SUM(D95:D102)</f>
        <v>88636.2882005786</v>
      </c>
      <c r="E103" s="141">
        <f>SUM(E95:E102)</f>
        <v>54833.30632165891</v>
      </c>
      <c r="F103" s="142">
        <f>SUM(F95:F102)</f>
        <v>0</v>
      </c>
      <c r="G103" s="250">
        <f>SUM(G95:G102)</f>
        <v>54833.30632165891</v>
      </c>
    </row>
    <row r="104" s="245" customFormat="1" ht="12.75" hidden="1"/>
  </sheetData>
  <sheetProtection password="D464" sheet="1" formatRows="0"/>
  <mergeCells count="60">
    <mergeCell ref="A58:C58"/>
    <mergeCell ref="A59:C59"/>
    <mergeCell ref="A69:C69"/>
    <mergeCell ref="A70:C70"/>
    <mergeCell ref="A72:C72"/>
    <mergeCell ref="A61:C61"/>
    <mergeCell ref="A62:C62"/>
    <mergeCell ref="A63:C63"/>
    <mergeCell ref="A64:C64"/>
    <mergeCell ref="A65:C65"/>
    <mergeCell ref="A53:C53"/>
    <mergeCell ref="A54:C54"/>
    <mergeCell ref="A73:C73"/>
    <mergeCell ref="A71:C71"/>
    <mergeCell ref="A66:C66"/>
    <mergeCell ref="A67:C67"/>
    <mergeCell ref="A68:C68"/>
    <mergeCell ref="A55:C55"/>
    <mergeCell ref="A56:C56"/>
    <mergeCell ref="A57:C57"/>
    <mergeCell ref="A40:C40"/>
    <mergeCell ref="A41:C41"/>
    <mergeCell ref="A42:C42"/>
    <mergeCell ref="A43:C43"/>
    <mergeCell ref="A48:C48"/>
    <mergeCell ref="A60:C60"/>
    <mergeCell ref="A49:C49"/>
    <mergeCell ref="A50:C50"/>
    <mergeCell ref="A51:C51"/>
    <mergeCell ref="A52:C52"/>
    <mergeCell ref="A3:E3"/>
    <mergeCell ref="A35:C35"/>
    <mergeCell ref="A33:C33"/>
    <mergeCell ref="A32:C32"/>
    <mergeCell ref="A31:C31"/>
    <mergeCell ref="A30:C30"/>
    <mergeCell ref="A29:C29"/>
    <mergeCell ref="D29:E29"/>
    <mergeCell ref="A28:E28"/>
    <mergeCell ref="A34:C34"/>
    <mergeCell ref="F80:F82"/>
    <mergeCell ref="A80:C82"/>
    <mergeCell ref="D80:D82"/>
    <mergeCell ref="D31:E31"/>
    <mergeCell ref="D30:E30"/>
    <mergeCell ref="D35:E35"/>
    <mergeCell ref="D33:E33"/>
    <mergeCell ref="D32:E32"/>
    <mergeCell ref="A38:E38"/>
    <mergeCell ref="F38:I38"/>
    <mergeCell ref="D34:E34"/>
    <mergeCell ref="B88:C88"/>
    <mergeCell ref="B87:C87"/>
    <mergeCell ref="B86:C86"/>
    <mergeCell ref="E80:E82"/>
    <mergeCell ref="A44:C44"/>
    <mergeCell ref="A45:C45"/>
    <mergeCell ref="A46:C46"/>
    <mergeCell ref="A47:C47"/>
    <mergeCell ref="A39:C39"/>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scale="75" r:id="rId3"/>
  <rowBreaks count="1" manualBreakCount="1">
    <brk id="36" max="9" man="1"/>
  </rowBreaks>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view="pageBreakPreview" zoomScale="60" zoomScaleNormal="85" zoomScalePageLayoutView="0" workbookViewId="0" topLeftCell="A1">
      <pane ySplit="1" topLeftCell="A2" activePane="bottomLeft" state="frozen"/>
      <selection pane="topLeft" activeCell="A1" sqref="A1"/>
      <selection pane="bottomLeft" activeCell="T44" sqref="T44"/>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198</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1" t="s">
        <v>199</v>
      </c>
      <c r="B4" s="36"/>
      <c r="C4" s="36"/>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6" customFormat="1" ht="12.75">
      <c r="A6" s="253"/>
      <c r="B6" s="254"/>
      <c r="C6" s="255" t="s">
        <v>200</v>
      </c>
      <c r="D6" s="197">
        <v>0</v>
      </c>
      <c r="E6" s="197">
        <v>0</v>
      </c>
      <c r="F6" s="197">
        <v>398.33</v>
      </c>
      <c r="G6" s="197">
        <v>398.33</v>
      </c>
      <c r="H6" s="197">
        <v>398.33</v>
      </c>
      <c r="I6" s="197">
        <v>398.33</v>
      </c>
      <c r="J6" s="197">
        <v>398.33</v>
      </c>
      <c r="K6" s="197">
        <v>398.33</v>
      </c>
      <c r="L6" s="197">
        <v>398.33</v>
      </c>
      <c r="M6" s="197">
        <v>398.33</v>
      </c>
      <c r="N6" s="197">
        <v>398.33</v>
      </c>
      <c r="O6" s="197">
        <v>398.33</v>
      </c>
      <c r="P6" s="197">
        <v>398.33</v>
      </c>
      <c r="Q6" s="197">
        <v>398.33</v>
      </c>
      <c r="R6" s="197">
        <v>398.33</v>
      </c>
      <c r="S6" s="197">
        <v>398.33</v>
      </c>
      <c r="T6" s="197">
        <v>398.33</v>
      </c>
      <c r="U6" s="197">
        <v>398.33</v>
      </c>
      <c r="V6" s="197">
        <v>398.33</v>
      </c>
      <c r="W6" s="197">
        <v>398.33</v>
      </c>
      <c r="X6" s="197">
        <v>398.33</v>
      </c>
      <c r="Y6" s="197">
        <v>398.33</v>
      </c>
      <c r="Z6" s="197">
        <v>398.33</v>
      </c>
      <c r="AA6" s="197">
        <v>398.33</v>
      </c>
      <c r="AB6" s="197">
        <v>398.33</v>
      </c>
      <c r="AC6" s="197">
        <v>398.33</v>
      </c>
      <c r="AD6" s="197">
        <v>398.33</v>
      </c>
      <c r="AE6" s="197">
        <v>398.33</v>
      </c>
      <c r="AF6" s="197">
        <v>398.33</v>
      </c>
      <c r="AG6" s="197">
        <v>398.33</v>
      </c>
      <c r="AH6" s="197">
        <v>398.33</v>
      </c>
      <c r="AI6" s="197">
        <v>398.33</v>
      </c>
      <c r="AJ6" s="197">
        <v>0</v>
      </c>
      <c r="AK6" s="197">
        <v>0</v>
      </c>
      <c r="AL6" s="197">
        <v>0</v>
      </c>
    </row>
    <row r="7" spans="3:38" ht="12.75">
      <c r="C7" s="34"/>
      <c r="D7" s="46"/>
      <c r="E7" s="46"/>
      <c r="F7" s="25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6" customFormat="1" ht="12.75">
      <c r="A8" s="253"/>
      <c r="B8" s="257"/>
      <c r="C8" s="255" t="s">
        <v>201</v>
      </c>
      <c r="D8" s="197">
        <v>0</v>
      </c>
      <c r="E8" s="197">
        <v>0</v>
      </c>
      <c r="F8" s="197">
        <v>663.88</v>
      </c>
      <c r="G8" s="197">
        <v>663.88</v>
      </c>
      <c r="H8" s="197">
        <v>663.88</v>
      </c>
      <c r="I8" s="197">
        <v>663.88</v>
      </c>
      <c r="J8" s="197">
        <v>663.88</v>
      </c>
      <c r="K8" s="197">
        <v>663.88</v>
      </c>
      <c r="L8" s="197">
        <v>663.88</v>
      </c>
      <c r="M8" s="197">
        <v>663.88</v>
      </c>
      <c r="N8" s="197">
        <v>663.88</v>
      </c>
      <c r="O8" s="197">
        <v>663.88</v>
      </c>
      <c r="P8" s="197">
        <v>663.88</v>
      </c>
      <c r="Q8" s="197">
        <v>663.88</v>
      </c>
      <c r="R8" s="197">
        <v>663.88</v>
      </c>
      <c r="S8" s="197">
        <v>663.88</v>
      </c>
      <c r="T8" s="197">
        <v>663.88</v>
      </c>
      <c r="U8" s="197">
        <v>663.88</v>
      </c>
      <c r="V8" s="197">
        <v>663.88</v>
      </c>
      <c r="W8" s="197">
        <v>663.88</v>
      </c>
      <c r="X8" s="197">
        <v>663.88</v>
      </c>
      <c r="Y8" s="197">
        <v>663.88</v>
      </c>
      <c r="Z8" s="197">
        <v>663.88</v>
      </c>
      <c r="AA8" s="197">
        <v>663.88</v>
      </c>
      <c r="AB8" s="197">
        <v>663.88</v>
      </c>
      <c r="AC8" s="197">
        <v>663.88</v>
      </c>
      <c r="AD8" s="197">
        <v>663.88</v>
      </c>
      <c r="AE8" s="197">
        <v>663.88</v>
      </c>
      <c r="AF8" s="197">
        <v>663.88</v>
      </c>
      <c r="AG8" s="197">
        <v>663.88</v>
      </c>
      <c r="AH8" s="197">
        <v>663.88</v>
      </c>
      <c r="AI8" s="197">
        <v>663.88</v>
      </c>
      <c r="AJ8" s="197">
        <v>0</v>
      </c>
      <c r="AK8" s="197">
        <v>0</v>
      </c>
      <c r="AL8" s="197">
        <v>0</v>
      </c>
    </row>
    <row r="9" spans="3:38" ht="12.75">
      <c r="C9" s="34"/>
      <c r="D9" s="46"/>
      <c r="E9" s="46"/>
      <c r="F9" s="25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6" customFormat="1" ht="12.75">
      <c r="A10" s="253"/>
      <c r="B10" s="257"/>
      <c r="C10" s="255" t="s">
        <v>202</v>
      </c>
      <c r="D10" s="197">
        <v>0</v>
      </c>
      <c r="E10" s="197">
        <v>0</v>
      </c>
      <c r="F10" s="197">
        <v>497.91</v>
      </c>
      <c r="G10" s="197">
        <v>497.91</v>
      </c>
      <c r="H10" s="197">
        <v>497.91</v>
      </c>
      <c r="I10" s="197">
        <v>497.91</v>
      </c>
      <c r="J10" s="197">
        <v>497.91</v>
      </c>
      <c r="K10" s="197">
        <v>564.3</v>
      </c>
      <c r="L10" s="197">
        <v>564.3</v>
      </c>
      <c r="M10" s="197">
        <v>564.3</v>
      </c>
      <c r="N10" s="197">
        <v>564.3</v>
      </c>
      <c r="O10" s="197">
        <v>564.3</v>
      </c>
      <c r="P10" s="197">
        <v>663.88</v>
      </c>
      <c r="Q10" s="197">
        <v>663.88</v>
      </c>
      <c r="R10" s="197">
        <v>663.88</v>
      </c>
      <c r="S10" s="197">
        <v>663.88</v>
      </c>
      <c r="T10" s="197">
        <v>663.88</v>
      </c>
      <c r="U10" s="197">
        <v>663.88</v>
      </c>
      <c r="V10" s="197">
        <v>663.88</v>
      </c>
      <c r="W10" s="197">
        <v>663.88</v>
      </c>
      <c r="X10" s="197">
        <v>663.88</v>
      </c>
      <c r="Y10" s="197">
        <v>663.88</v>
      </c>
      <c r="Z10" s="197">
        <v>663.88</v>
      </c>
      <c r="AA10" s="197">
        <v>663.88</v>
      </c>
      <c r="AB10" s="197">
        <v>663.88</v>
      </c>
      <c r="AC10" s="197">
        <v>663.88</v>
      </c>
      <c r="AD10" s="197">
        <v>663.88</v>
      </c>
      <c r="AE10" s="197">
        <v>663.88</v>
      </c>
      <c r="AF10" s="197">
        <v>663.88</v>
      </c>
      <c r="AG10" s="197">
        <v>663.88</v>
      </c>
      <c r="AH10" s="197">
        <v>663.88</v>
      </c>
      <c r="AI10" s="197">
        <v>663.88</v>
      </c>
      <c r="AJ10" s="197">
        <v>0</v>
      </c>
      <c r="AK10" s="197">
        <v>0</v>
      </c>
      <c r="AL10" s="197">
        <v>0</v>
      </c>
    </row>
    <row r="11" spans="1:38" ht="12.75">
      <c r="A11" s="7"/>
      <c r="C11" s="34"/>
      <c r="D11" s="20"/>
      <c r="E11" s="20"/>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0"/>
      <c r="AK11" s="20"/>
      <c r="AL11" s="20"/>
    </row>
    <row r="12" spans="2:38" s="196" customFormat="1" ht="12.75">
      <c r="B12" s="257"/>
      <c r="C12" s="255" t="s">
        <v>203</v>
      </c>
      <c r="D12" s="197">
        <v>0</v>
      </c>
      <c r="E12" s="197">
        <v>0</v>
      </c>
      <c r="F12" s="197">
        <v>199.16</v>
      </c>
      <c r="G12" s="197">
        <v>199.16</v>
      </c>
      <c r="H12" s="197">
        <v>199.16</v>
      </c>
      <c r="I12" s="197">
        <v>199.16</v>
      </c>
      <c r="J12" s="197">
        <v>199.16</v>
      </c>
      <c r="K12" s="197">
        <v>199.16</v>
      </c>
      <c r="L12" s="197">
        <v>199.16</v>
      </c>
      <c r="M12" s="197">
        <v>199.16</v>
      </c>
      <c r="N12" s="197">
        <v>199.16</v>
      </c>
      <c r="O12" s="197">
        <v>199.16</v>
      </c>
      <c r="P12" s="197">
        <v>199.16</v>
      </c>
      <c r="Q12" s="197">
        <v>199.16</v>
      </c>
      <c r="R12" s="197">
        <v>199.16</v>
      </c>
      <c r="S12" s="197">
        <v>199.16</v>
      </c>
      <c r="T12" s="197">
        <v>199.16</v>
      </c>
      <c r="U12" s="197">
        <v>199.16</v>
      </c>
      <c r="V12" s="197">
        <v>199.16</v>
      </c>
      <c r="W12" s="197">
        <v>199.16</v>
      </c>
      <c r="X12" s="197">
        <v>199.16</v>
      </c>
      <c r="Y12" s="197">
        <v>199.16</v>
      </c>
      <c r="Z12" s="197">
        <v>199.16</v>
      </c>
      <c r="AA12" s="197">
        <v>199.16</v>
      </c>
      <c r="AB12" s="197">
        <v>199.16</v>
      </c>
      <c r="AC12" s="197">
        <v>199.16</v>
      </c>
      <c r="AD12" s="197">
        <v>199.16</v>
      </c>
      <c r="AE12" s="197">
        <v>199.16</v>
      </c>
      <c r="AF12" s="197">
        <v>199.16</v>
      </c>
      <c r="AG12" s="197">
        <v>199.16</v>
      </c>
      <c r="AH12" s="197">
        <v>199.16</v>
      </c>
      <c r="AI12" s="197">
        <v>199.16</v>
      </c>
      <c r="AJ12" s="197">
        <v>0</v>
      </c>
      <c r="AK12" s="197">
        <v>0</v>
      </c>
      <c r="AL12" s="197">
        <v>0</v>
      </c>
    </row>
    <row r="13" spans="1:38" ht="12.75">
      <c r="A13" s="7"/>
      <c r="C13" s="34"/>
      <c r="D13" s="20"/>
      <c r="E13" s="20"/>
      <c r="F13" s="256"/>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6" customFormat="1" ht="12.75">
      <c r="B14" s="254"/>
      <c r="C14" s="255" t="s">
        <v>64</v>
      </c>
      <c r="D14" s="197">
        <v>0</v>
      </c>
      <c r="E14" s="197">
        <v>0</v>
      </c>
      <c r="F14" s="197">
        <v>0</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6" customFormat="1" ht="12.75">
      <c r="B16" s="257"/>
      <c r="C16" s="255" t="s">
        <v>65</v>
      </c>
      <c r="D16" s="197">
        <v>0</v>
      </c>
      <c r="E16" s="197">
        <v>0</v>
      </c>
      <c r="F16" s="197">
        <v>0</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204</v>
      </c>
      <c r="D18" s="258">
        <v>0</v>
      </c>
      <c r="E18" s="258">
        <v>0</v>
      </c>
      <c r="F18" s="258">
        <v>1759.28</v>
      </c>
      <c r="G18" s="258">
        <v>1759.28</v>
      </c>
      <c r="H18" s="258">
        <v>1759.28</v>
      </c>
      <c r="I18" s="258">
        <v>1759.28</v>
      </c>
      <c r="J18" s="258">
        <v>1759.28</v>
      </c>
      <c r="K18" s="258">
        <v>1825.67</v>
      </c>
      <c r="L18" s="258">
        <v>1825.67</v>
      </c>
      <c r="M18" s="258">
        <v>1825.67</v>
      </c>
      <c r="N18" s="258">
        <v>1825.67</v>
      </c>
      <c r="O18" s="258">
        <v>1825.67</v>
      </c>
      <c r="P18" s="258">
        <v>1925.25</v>
      </c>
      <c r="Q18" s="258">
        <v>1925.25</v>
      </c>
      <c r="R18" s="258">
        <v>1925.25</v>
      </c>
      <c r="S18" s="258">
        <v>1925.25</v>
      </c>
      <c r="T18" s="258">
        <v>1925.25</v>
      </c>
      <c r="U18" s="258">
        <v>1925.25</v>
      </c>
      <c r="V18" s="258">
        <v>1925.25</v>
      </c>
      <c r="W18" s="258">
        <v>1925.25</v>
      </c>
      <c r="X18" s="258">
        <v>1925.25</v>
      </c>
      <c r="Y18" s="258">
        <v>1925.25</v>
      </c>
      <c r="Z18" s="258">
        <v>1925.25</v>
      </c>
      <c r="AA18" s="258">
        <v>1925.25</v>
      </c>
      <c r="AB18" s="258">
        <v>1925.25</v>
      </c>
      <c r="AC18" s="258">
        <v>1925.25</v>
      </c>
      <c r="AD18" s="258">
        <v>1925.25</v>
      </c>
      <c r="AE18" s="258">
        <v>1925.25</v>
      </c>
      <c r="AF18" s="258">
        <v>1925.25</v>
      </c>
      <c r="AG18" s="258">
        <v>1925.25</v>
      </c>
      <c r="AH18" s="258">
        <v>1925.25</v>
      </c>
      <c r="AI18" s="258">
        <v>1925.25</v>
      </c>
      <c r="AJ18" s="258">
        <v>0</v>
      </c>
      <c r="AK18" s="258">
        <v>0</v>
      </c>
      <c r="AL18" s="258">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59" t="s">
        <v>205</v>
      </c>
      <c r="B21" s="36"/>
      <c r="C21" s="36"/>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60"/>
      <c r="C23" s="34" t="s">
        <v>206</v>
      </c>
      <c r="D23" s="261">
        <v>0</v>
      </c>
      <c r="E23" s="261">
        <v>0</v>
      </c>
      <c r="F23" s="261">
        <v>425.65235776512236</v>
      </c>
      <c r="G23" s="261">
        <v>811.2011929651225</v>
      </c>
      <c r="H23" s="261">
        <v>845.4456708657623</v>
      </c>
      <c r="I23" s="261">
        <v>869.6163815631431</v>
      </c>
      <c r="J23" s="261">
        <v>872.9101464583351</v>
      </c>
      <c r="K23" s="261">
        <v>873.7368814470284</v>
      </c>
      <c r="L23" s="261">
        <v>873.7368814470284</v>
      </c>
      <c r="M23" s="261">
        <v>873.7368814470284</v>
      </c>
      <c r="N23" s="261">
        <v>873.7368814470284</v>
      </c>
      <c r="O23" s="261">
        <v>873.7368814470284</v>
      </c>
      <c r="P23" s="261">
        <v>873.7368814470284</v>
      </c>
      <c r="Q23" s="261">
        <v>873.7368814470284</v>
      </c>
      <c r="R23" s="261">
        <v>873.7368814470284</v>
      </c>
      <c r="S23" s="261">
        <v>873.7368814470284</v>
      </c>
      <c r="T23" s="261">
        <v>873.7368814470284</v>
      </c>
      <c r="U23" s="261">
        <v>873.7368814470284</v>
      </c>
      <c r="V23" s="261">
        <v>873.7368814470284</v>
      </c>
      <c r="W23" s="261">
        <v>873.7368814470284</v>
      </c>
      <c r="X23" s="261">
        <v>873.7368814470284</v>
      </c>
      <c r="Y23" s="261">
        <v>873.7368814470284</v>
      </c>
      <c r="Z23" s="261">
        <v>873.7368814470284</v>
      </c>
      <c r="AA23" s="261">
        <v>873.7368814470284</v>
      </c>
      <c r="AB23" s="261">
        <v>873.7368814470284</v>
      </c>
      <c r="AC23" s="261">
        <v>873.7368814470284</v>
      </c>
      <c r="AD23" s="261">
        <v>873.7368814470284</v>
      </c>
      <c r="AE23" s="261">
        <v>873.7368814470284</v>
      </c>
      <c r="AF23" s="261">
        <v>873.7368814470284</v>
      </c>
      <c r="AG23" s="261">
        <v>873.7368814470284</v>
      </c>
      <c r="AH23" s="261">
        <v>873.7368814470284</v>
      </c>
      <c r="AI23" s="261">
        <v>873.7368814470284</v>
      </c>
      <c r="AJ23" s="258"/>
      <c r="AK23" s="258"/>
      <c r="AL23" s="258"/>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2" t="s">
        <v>207</v>
      </c>
      <c r="D25" s="45">
        <v>0</v>
      </c>
      <c r="E25" s="45">
        <v>0</v>
      </c>
      <c r="F25" s="263">
        <v>0.1</v>
      </c>
      <c r="G25" s="263">
        <v>0.1</v>
      </c>
      <c r="H25" s="263">
        <v>0.1</v>
      </c>
      <c r="I25" s="263">
        <v>0.1</v>
      </c>
      <c r="J25" s="263">
        <v>0.1</v>
      </c>
      <c r="K25" s="263">
        <v>0.1</v>
      </c>
      <c r="L25" s="263">
        <v>0.1</v>
      </c>
      <c r="M25" s="263">
        <v>0.1</v>
      </c>
      <c r="N25" s="263">
        <v>0.1</v>
      </c>
      <c r="O25" s="263">
        <v>0.1</v>
      </c>
      <c r="P25" s="263">
        <v>0.1</v>
      </c>
      <c r="Q25" s="263">
        <v>0.1</v>
      </c>
      <c r="R25" s="263">
        <v>0.1</v>
      </c>
      <c r="S25" s="263">
        <v>0.1</v>
      </c>
      <c r="T25" s="263">
        <v>0.1</v>
      </c>
      <c r="U25" s="263">
        <v>0.1</v>
      </c>
      <c r="V25" s="263">
        <v>0.1</v>
      </c>
      <c r="W25" s="263">
        <v>0.1</v>
      </c>
      <c r="X25" s="263">
        <v>0.1</v>
      </c>
      <c r="Y25" s="263">
        <v>0.1</v>
      </c>
      <c r="Z25" s="263">
        <v>0.1</v>
      </c>
      <c r="AA25" s="263">
        <v>0.1</v>
      </c>
      <c r="AB25" s="263">
        <v>0.1</v>
      </c>
      <c r="AC25" s="263">
        <v>0.1</v>
      </c>
      <c r="AD25" s="263">
        <v>0.1</v>
      </c>
      <c r="AE25" s="263">
        <v>0.1</v>
      </c>
      <c r="AF25" s="263">
        <v>0.1</v>
      </c>
      <c r="AG25" s="263">
        <v>0.1</v>
      </c>
      <c r="AH25" s="263">
        <v>0.1</v>
      </c>
      <c r="AI25" s="263">
        <v>0.1</v>
      </c>
      <c r="AJ25" s="20"/>
      <c r="AK25" s="20"/>
      <c r="AL25" s="20"/>
    </row>
    <row r="26" spans="3:38" ht="12.75">
      <c r="C26" s="9" t="s">
        <v>208</v>
      </c>
      <c r="D26" s="261">
        <v>0</v>
      </c>
      <c r="E26" s="261">
        <v>0</v>
      </c>
      <c r="F26" s="261">
        <v>42.56523577651224</v>
      </c>
      <c r="G26" s="261">
        <v>81.12011929651226</v>
      </c>
      <c r="H26" s="261">
        <v>84.54456708657624</v>
      </c>
      <c r="I26" s="261">
        <v>86.96163815631432</v>
      </c>
      <c r="J26" s="261">
        <v>87.29101464583351</v>
      </c>
      <c r="K26" s="261">
        <v>87.37368814470284</v>
      </c>
      <c r="L26" s="261">
        <v>87.37368814470284</v>
      </c>
      <c r="M26" s="261">
        <v>87.37368814470284</v>
      </c>
      <c r="N26" s="261">
        <v>87.37368814470284</v>
      </c>
      <c r="O26" s="261">
        <v>87.37368814470284</v>
      </c>
      <c r="P26" s="261">
        <v>87.37368814470284</v>
      </c>
      <c r="Q26" s="261">
        <v>87.37368814470284</v>
      </c>
      <c r="R26" s="261">
        <v>87.37368814470284</v>
      </c>
      <c r="S26" s="261">
        <v>87.37368814470284</v>
      </c>
      <c r="T26" s="261">
        <v>87.37368814470284</v>
      </c>
      <c r="U26" s="261">
        <v>87.37368814470284</v>
      </c>
      <c r="V26" s="261">
        <v>87.37368814470284</v>
      </c>
      <c r="W26" s="261">
        <v>87.37368814470284</v>
      </c>
      <c r="X26" s="261">
        <v>87.37368814470284</v>
      </c>
      <c r="Y26" s="261">
        <v>87.37368814470284</v>
      </c>
      <c r="Z26" s="261">
        <v>87.37368814470284</v>
      </c>
      <c r="AA26" s="261">
        <v>87.37368814470284</v>
      </c>
      <c r="AB26" s="261">
        <v>87.37368814470284</v>
      </c>
      <c r="AC26" s="261">
        <v>87.37368814470284</v>
      </c>
      <c r="AD26" s="261">
        <v>87.37368814470284</v>
      </c>
      <c r="AE26" s="261">
        <v>87.37368814470284</v>
      </c>
      <c r="AF26" s="261">
        <v>87.37368814470284</v>
      </c>
      <c r="AG26" s="261">
        <v>87.37368814470284</v>
      </c>
      <c r="AH26" s="261">
        <v>87.37368814470284</v>
      </c>
      <c r="AI26" s="261">
        <v>87.37368814470284</v>
      </c>
      <c r="AJ26" s="261">
        <v>0</v>
      </c>
      <c r="AK26" s="261">
        <v>0</v>
      </c>
      <c r="AL26" s="261">
        <v>0</v>
      </c>
    </row>
    <row r="27" spans="1:38" ht="12.75">
      <c r="A27" s="7"/>
      <c r="B27" s="7"/>
      <c r="C27" s="9" t="s">
        <v>209</v>
      </c>
      <c r="D27" s="192">
        <v>0</v>
      </c>
      <c r="E27" s="192">
        <v>0</v>
      </c>
      <c r="F27" s="192">
        <v>8.298</v>
      </c>
      <c r="G27" s="192">
        <v>8.298</v>
      </c>
      <c r="H27" s="192">
        <v>8.298</v>
      </c>
      <c r="I27" s="192">
        <v>8.298</v>
      </c>
      <c r="J27" s="192">
        <v>8.298</v>
      </c>
      <c r="K27" s="192">
        <v>8.298</v>
      </c>
      <c r="L27" s="192">
        <v>8.298</v>
      </c>
      <c r="M27" s="192">
        <v>8.298</v>
      </c>
      <c r="N27" s="192">
        <v>8.298</v>
      </c>
      <c r="O27" s="192">
        <v>8.298</v>
      </c>
      <c r="P27" s="192">
        <v>8.298</v>
      </c>
      <c r="Q27" s="192">
        <v>8.298</v>
      </c>
      <c r="R27" s="192">
        <v>8.298</v>
      </c>
      <c r="S27" s="192">
        <v>8.298</v>
      </c>
      <c r="T27" s="192">
        <v>8.298</v>
      </c>
      <c r="U27" s="192">
        <v>8.298</v>
      </c>
      <c r="V27" s="192">
        <v>8.298</v>
      </c>
      <c r="W27" s="192">
        <v>8.298</v>
      </c>
      <c r="X27" s="192">
        <v>8.298</v>
      </c>
      <c r="Y27" s="192">
        <v>8.298</v>
      </c>
      <c r="Z27" s="192">
        <v>8.298</v>
      </c>
      <c r="AA27" s="192">
        <v>8.298</v>
      </c>
      <c r="AB27" s="192">
        <v>8.298</v>
      </c>
      <c r="AC27" s="192">
        <v>8.298</v>
      </c>
      <c r="AD27" s="192">
        <v>8.298</v>
      </c>
      <c r="AE27" s="192">
        <v>8.298</v>
      </c>
      <c r="AF27" s="192">
        <v>8.298</v>
      </c>
      <c r="AG27" s="192">
        <v>8.298</v>
      </c>
      <c r="AH27" s="192">
        <v>8.298</v>
      </c>
      <c r="AI27" s="192">
        <v>8.298</v>
      </c>
      <c r="AJ27" s="45">
        <v>0</v>
      </c>
      <c r="AK27" s="45">
        <v>0</v>
      </c>
      <c r="AL27" s="45">
        <v>0</v>
      </c>
    </row>
    <row r="28" spans="1:38" ht="12.75">
      <c r="A28" s="7"/>
      <c r="B28" s="369" t="s">
        <v>210</v>
      </c>
      <c r="C28" s="369"/>
      <c r="D28" s="196">
        <v>0</v>
      </c>
      <c r="E28" s="196">
        <v>0</v>
      </c>
      <c r="F28" s="196">
        <v>353.20632647349856</v>
      </c>
      <c r="G28" s="196">
        <v>673.1347499224587</v>
      </c>
      <c r="H28" s="196">
        <v>701.5508176844096</v>
      </c>
      <c r="I28" s="196">
        <v>721.6076734210963</v>
      </c>
      <c r="J28" s="196">
        <v>724.3408395311264</v>
      </c>
      <c r="K28" s="196">
        <v>725.0268642247441</v>
      </c>
      <c r="L28" s="196">
        <v>725.0268642247441</v>
      </c>
      <c r="M28" s="196">
        <v>725.0268642247441</v>
      </c>
      <c r="N28" s="196">
        <v>725.0268642247441</v>
      </c>
      <c r="O28" s="196">
        <v>725.0268642247441</v>
      </c>
      <c r="P28" s="196">
        <v>725.0268642247441</v>
      </c>
      <c r="Q28" s="196">
        <v>725.0268642247441</v>
      </c>
      <c r="R28" s="196">
        <v>725.0268642247441</v>
      </c>
      <c r="S28" s="196">
        <v>725.0268642247441</v>
      </c>
      <c r="T28" s="196">
        <v>725.0268642247441</v>
      </c>
      <c r="U28" s="196">
        <v>725.0268642247441</v>
      </c>
      <c r="V28" s="196">
        <v>725.0268642247441</v>
      </c>
      <c r="W28" s="196">
        <v>725.0268642247441</v>
      </c>
      <c r="X28" s="196">
        <v>725.0268642247441</v>
      </c>
      <c r="Y28" s="196">
        <v>725.0268642247441</v>
      </c>
      <c r="Z28" s="196">
        <v>725.0268642247441</v>
      </c>
      <c r="AA28" s="196">
        <v>725.0268642247441</v>
      </c>
      <c r="AB28" s="196">
        <v>725.0268642247441</v>
      </c>
      <c r="AC28" s="196">
        <v>725.0268642247441</v>
      </c>
      <c r="AD28" s="196">
        <v>725.0268642247441</v>
      </c>
      <c r="AE28" s="196">
        <v>725.0268642247441</v>
      </c>
      <c r="AF28" s="196">
        <v>725.0268642247441</v>
      </c>
      <c r="AG28" s="196">
        <v>725.0268642247441</v>
      </c>
      <c r="AH28" s="196">
        <v>725.0268642247441</v>
      </c>
      <c r="AI28" s="196">
        <v>725.0268642247441</v>
      </c>
      <c r="AJ28" s="46">
        <v>0</v>
      </c>
      <c r="AK28" s="46">
        <v>0</v>
      </c>
      <c r="AL28" s="46">
        <v>0</v>
      </c>
    </row>
    <row r="29" spans="1:38" ht="12.75">
      <c r="A29" s="7"/>
      <c r="B29" s="34"/>
      <c r="C29" s="34"/>
      <c r="D29" s="46"/>
      <c r="E29" s="46"/>
      <c r="F29" s="264"/>
      <c r="G29" s="264"/>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2" t="s">
        <v>211</v>
      </c>
      <c r="D30" s="45">
        <v>0</v>
      </c>
      <c r="E30" s="45">
        <v>0</v>
      </c>
      <c r="F30" s="263">
        <v>72.5</v>
      </c>
      <c r="G30" s="263">
        <v>72.5</v>
      </c>
      <c r="H30" s="263">
        <v>72.5</v>
      </c>
      <c r="I30" s="263">
        <v>72.5</v>
      </c>
      <c r="J30" s="263">
        <v>72.5</v>
      </c>
      <c r="K30" s="263">
        <v>72.5</v>
      </c>
      <c r="L30" s="263">
        <v>72.5</v>
      </c>
      <c r="M30" s="263">
        <v>72.5</v>
      </c>
      <c r="N30" s="263">
        <v>72.5</v>
      </c>
      <c r="O30" s="263">
        <v>72.5</v>
      </c>
      <c r="P30" s="263">
        <v>72.5</v>
      </c>
      <c r="Q30" s="263">
        <v>72.5</v>
      </c>
      <c r="R30" s="263">
        <v>72.5</v>
      </c>
      <c r="S30" s="263">
        <v>72.5</v>
      </c>
      <c r="T30" s="263">
        <v>72.5</v>
      </c>
      <c r="U30" s="263">
        <v>72.5</v>
      </c>
      <c r="V30" s="263">
        <v>72.5</v>
      </c>
      <c r="W30" s="263">
        <v>72.5</v>
      </c>
      <c r="X30" s="263">
        <v>72.5</v>
      </c>
      <c r="Y30" s="263">
        <v>72.5</v>
      </c>
      <c r="Z30" s="263">
        <v>72.5</v>
      </c>
      <c r="AA30" s="263">
        <v>72.5</v>
      </c>
      <c r="AB30" s="263">
        <v>72.5</v>
      </c>
      <c r="AC30" s="263">
        <v>72.5</v>
      </c>
      <c r="AD30" s="263">
        <v>72.5</v>
      </c>
      <c r="AE30" s="263">
        <v>72.5</v>
      </c>
      <c r="AF30" s="263">
        <v>72.5</v>
      </c>
      <c r="AG30" s="263">
        <v>72.5</v>
      </c>
      <c r="AH30" s="263">
        <v>72.5</v>
      </c>
      <c r="AI30" s="263">
        <v>72.5</v>
      </c>
      <c r="AJ30" s="46"/>
      <c r="AK30" s="46"/>
      <c r="AL30" s="46"/>
    </row>
    <row r="31" spans="1:38" ht="12.75">
      <c r="A31" s="7"/>
      <c r="B31" s="7"/>
      <c r="C31" s="9" t="s">
        <v>212</v>
      </c>
      <c r="D31" s="46">
        <v>0</v>
      </c>
      <c r="E31" s="46">
        <v>0</v>
      </c>
      <c r="F31" s="265">
        <v>30.859795937971374</v>
      </c>
      <c r="G31" s="265">
        <v>58.81208648997138</v>
      </c>
      <c r="H31" s="265">
        <v>61.294811137767766</v>
      </c>
      <c r="I31" s="265">
        <v>63.04718766332788</v>
      </c>
      <c r="J31" s="265">
        <v>63.2859856182293</v>
      </c>
      <c r="K31" s="265">
        <v>63.345923904909554</v>
      </c>
      <c r="L31" s="265">
        <v>63.345923904909554</v>
      </c>
      <c r="M31" s="265">
        <v>63.345923904909554</v>
      </c>
      <c r="N31" s="265">
        <v>63.345923904909554</v>
      </c>
      <c r="O31" s="265">
        <v>63.345923904909554</v>
      </c>
      <c r="P31" s="265">
        <v>63.345923904909554</v>
      </c>
      <c r="Q31" s="265">
        <v>63.345923904909554</v>
      </c>
      <c r="R31" s="265">
        <v>63.345923904909554</v>
      </c>
      <c r="S31" s="265">
        <v>63.345923904909554</v>
      </c>
      <c r="T31" s="265">
        <v>63.345923904909554</v>
      </c>
      <c r="U31" s="265">
        <v>63.345923904909554</v>
      </c>
      <c r="V31" s="265">
        <v>63.345923904909554</v>
      </c>
      <c r="W31" s="265">
        <v>63.345923904909554</v>
      </c>
      <c r="X31" s="265">
        <v>63.345923904909554</v>
      </c>
      <c r="Y31" s="265">
        <v>63.345923904909554</v>
      </c>
      <c r="Z31" s="265">
        <v>63.345923904909554</v>
      </c>
      <c r="AA31" s="265">
        <v>63.345923904909554</v>
      </c>
      <c r="AB31" s="265">
        <v>63.345923904909554</v>
      </c>
      <c r="AC31" s="265">
        <v>63.345923904909554</v>
      </c>
      <c r="AD31" s="265">
        <v>63.345923904909554</v>
      </c>
      <c r="AE31" s="265">
        <v>63.345923904909554</v>
      </c>
      <c r="AF31" s="265">
        <v>63.345923904909554</v>
      </c>
      <c r="AG31" s="265">
        <v>63.345923904909554</v>
      </c>
      <c r="AH31" s="265">
        <v>63.345923904909554</v>
      </c>
      <c r="AI31" s="265">
        <v>63.345923904909554</v>
      </c>
      <c r="AJ31" s="46">
        <v>0</v>
      </c>
      <c r="AK31" s="46">
        <v>0</v>
      </c>
      <c r="AL31" s="46">
        <v>0</v>
      </c>
    </row>
    <row r="32" spans="1:38" ht="12.75">
      <c r="A32" s="7"/>
      <c r="B32" s="7"/>
      <c r="C32" s="262" t="s">
        <v>213</v>
      </c>
      <c r="D32" s="192">
        <v>0</v>
      </c>
      <c r="E32" s="192">
        <v>0</v>
      </c>
      <c r="F32" s="192">
        <v>16.6</v>
      </c>
      <c r="G32" s="192">
        <v>16.6</v>
      </c>
      <c r="H32" s="192">
        <v>16.6</v>
      </c>
      <c r="I32" s="192">
        <v>16.6</v>
      </c>
      <c r="J32" s="192">
        <v>16.6</v>
      </c>
      <c r="K32" s="192">
        <v>16.6</v>
      </c>
      <c r="L32" s="192">
        <v>16.6</v>
      </c>
      <c r="M32" s="192">
        <v>16.6</v>
      </c>
      <c r="N32" s="192">
        <v>16.6</v>
      </c>
      <c r="O32" s="192">
        <v>16.6</v>
      </c>
      <c r="P32" s="192">
        <v>16.6</v>
      </c>
      <c r="Q32" s="192">
        <v>16.6</v>
      </c>
      <c r="R32" s="192">
        <v>16.6</v>
      </c>
      <c r="S32" s="192">
        <v>16.6</v>
      </c>
      <c r="T32" s="192">
        <v>16.6</v>
      </c>
      <c r="U32" s="192">
        <v>16.6</v>
      </c>
      <c r="V32" s="192">
        <v>16.6</v>
      </c>
      <c r="W32" s="192">
        <v>16.6</v>
      </c>
      <c r="X32" s="192">
        <v>16.6</v>
      </c>
      <c r="Y32" s="192">
        <v>16.6</v>
      </c>
      <c r="Z32" s="192">
        <v>16.6</v>
      </c>
      <c r="AA32" s="192">
        <v>16.6</v>
      </c>
      <c r="AB32" s="192">
        <v>16.6</v>
      </c>
      <c r="AC32" s="192">
        <v>16.6</v>
      </c>
      <c r="AD32" s="192">
        <v>16.6</v>
      </c>
      <c r="AE32" s="192">
        <v>16.6</v>
      </c>
      <c r="AF32" s="192">
        <v>16.6</v>
      </c>
      <c r="AG32" s="192">
        <v>16.6</v>
      </c>
      <c r="AH32" s="192">
        <v>16.6</v>
      </c>
      <c r="AI32" s="192">
        <v>16.6</v>
      </c>
      <c r="AJ32" s="45">
        <v>0</v>
      </c>
      <c r="AK32" s="45">
        <v>0</v>
      </c>
      <c r="AL32" s="45">
        <v>0</v>
      </c>
    </row>
    <row r="33" spans="1:38" ht="12.75">
      <c r="A33" s="7"/>
      <c r="B33" s="369" t="s">
        <v>214</v>
      </c>
      <c r="C33" s="369"/>
      <c r="D33" s="196">
        <v>0</v>
      </c>
      <c r="E33" s="196">
        <v>0</v>
      </c>
      <c r="F33" s="196">
        <v>512.2726125703249</v>
      </c>
      <c r="G33" s="196">
        <v>976.280635733525</v>
      </c>
      <c r="H33" s="196">
        <v>1017.4938648869451</v>
      </c>
      <c r="I33" s="196">
        <v>1046.583315211243</v>
      </c>
      <c r="J33" s="196">
        <v>1050.5473612626065</v>
      </c>
      <c r="K33" s="196">
        <v>1051.5423368214988</v>
      </c>
      <c r="L33" s="196">
        <v>1051.5423368214988</v>
      </c>
      <c r="M33" s="196">
        <v>1051.5423368214988</v>
      </c>
      <c r="N33" s="196">
        <v>1051.5423368214988</v>
      </c>
      <c r="O33" s="196">
        <v>1051.5423368214988</v>
      </c>
      <c r="P33" s="196">
        <v>1051.5423368214988</v>
      </c>
      <c r="Q33" s="196">
        <v>1051.5423368214988</v>
      </c>
      <c r="R33" s="196">
        <v>1051.5423368214988</v>
      </c>
      <c r="S33" s="196">
        <v>1051.5423368214988</v>
      </c>
      <c r="T33" s="196">
        <v>1051.5423368214988</v>
      </c>
      <c r="U33" s="196">
        <v>1051.5423368214988</v>
      </c>
      <c r="V33" s="196">
        <v>1051.5423368214988</v>
      </c>
      <c r="W33" s="196">
        <v>1051.5423368214988</v>
      </c>
      <c r="X33" s="196">
        <v>1051.5423368214988</v>
      </c>
      <c r="Y33" s="196">
        <v>1051.5423368214988</v>
      </c>
      <c r="Z33" s="196">
        <v>1051.5423368214988</v>
      </c>
      <c r="AA33" s="196">
        <v>1051.5423368214988</v>
      </c>
      <c r="AB33" s="196">
        <v>1051.5423368214988</v>
      </c>
      <c r="AC33" s="196">
        <v>1051.5423368214988</v>
      </c>
      <c r="AD33" s="196">
        <v>1051.5423368214988</v>
      </c>
      <c r="AE33" s="196">
        <v>1051.5423368214988</v>
      </c>
      <c r="AF33" s="196">
        <v>1051.5423368214988</v>
      </c>
      <c r="AG33" s="196">
        <v>1051.5423368214988</v>
      </c>
      <c r="AH33" s="196">
        <v>1051.5423368214988</v>
      </c>
      <c r="AI33" s="196">
        <v>1051.5423368214988</v>
      </c>
      <c r="AJ33" s="46">
        <v>0</v>
      </c>
      <c r="AK33" s="46">
        <v>0</v>
      </c>
      <c r="AL33" s="46">
        <v>0</v>
      </c>
    </row>
    <row r="34" spans="1:38" ht="12.75">
      <c r="A34" s="7"/>
      <c r="B34" s="9"/>
      <c r="C34" s="9"/>
      <c r="D34" s="46"/>
      <c r="E34" s="46"/>
      <c r="F34" s="256"/>
      <c r="G34" s="25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2">
        <v>0</v>
      </c>
      <c r="E36" s="192">
        <v>0</v>
      </c>
      <c r="F36" s="192">
        <v>0</v>
      </c>
      <c r="G36" s="192">
        <v>0</v>
      </c>
      <c r="H36" s="192">
        <v>0</v>
      </c>
      <c r="I36" s="192">
        <v>0</v>
      </c>
      <c r="J36" s="192">
        <v>0</v>
      </c>
      <c r="K36" s="192">
        <v>0</v>
      </c>
      <c r="L36" s="192">
        <v>0</v>
      </c>
      <c r="M36" s="192">
        <v>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45">
        <v>0</v>
      </c>
      <c r="AK36" s="45">
        <v>0</v>
      </c>
      <c r="AL36" s="45">
        <v>0</v>
      </c>
    </row>
    <row r="37" spans="1:38" ht="12.75">
      <c r="A37" s="7"/>
      <c r="B37" s="369" t="s">
        <v>27</v>
      </c>
      <c r="C37" s="369"/>
      <c r="D37" s="196">
        <v>0</v>
      </c>
      <c r="E37" s="196">
        <v>0</v>
      </c>
      <c r="F37" s="196">
        <v>0</v>
      </c>
      <c r="G37" s="196">
        <v>0</v>
      </c>
      <c r="H37" s="196">
        <v>0</v>
      </c>
      <c r="I37" s="196">
        <v>0</v>
      </c>
      <c r="J37" s="196">
        <v>0</v>
      </c>
      <c r="K37" s="196">
        <v>0</v>
      </c>
      <c r="L37" s="196">
        <v>0</v>
      </c>
      <c r="M37" s="196">
        <v>0</v>
      </c>
      <c r="N37" s="196">
        <v>0</v>
      </c>
      <c r="O37" s="196">
        <v>0</v>
      </c>
      <c r="P37" s="196">
        <v>0</v>
      </c>
      <c r="Q37" s="196">
        <v>0</v>
      </c>
      <c r="R37" s="196">
        <v>0</v>
      </c>
      <c r="S37" s="196">
        <v>0</v>
      </c>
      <c r="T37" s="196">
        <v>0</v>
      </c>
      <c r="U37" s="196">
        <v>0</v>
      </c>
      <c r="V37" s="196">
        <v>0</v>
      </c>
      <c r="W37" s="196">
        <v>0</v>
      </c>
      <c r="X37" s="196">
        <v>0</v>
      </c>
      <c r="Y37" s="196">
        <v>0</v>
      </c>
      <c r="Z37" s="196">
        <v>0</v>
      </c>
      <c r="AA37" s="196">
        <v>0</v>
      </c>
      <c r="AB37" s="196">
        <v>0</v>
      </c>
      <c r="AC37" s="196">
        <v>0</v>
      </c>
      <c r="AD37" s="196">
        <v>0</v>
      </c>
      <c r="AE37" s="196">
        <v>0</v>
      </c>
      <c r="AF37" s="196">
        <v>0</v>
      </c>
      <c r="AG37" s="196">
        <v>0</v>
      </c>
      <c r="AH37" s="196">
        <v>0</v>
      </c>
      <c r="AI37" s="196">
        <v>0</v>
      </c>
      <c r="AJ37" s="4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2">
        <v>0</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45">
        <v>0</v>
      </c>
      <c r="AK40" s="45">
        <v>0</v>
      </c>
      <c r="AL40" s="45">
        <v>0</v>
      </c>
    </row>
    <row r="41" spans="1:38" ht="12.75">
      <c r="A41" s="7"/>
      <c r="B41" s="369" t="s">
        <v>27</v>
      </c>
      <c r="C41" s="369"/>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4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60"/>
      <c r="C43" s="260"/>
      <c r="D43" s="266">
        <v>0</v>
      </c>
      <c r="E43" s="266">
        <v>0</v>
      </c>
      <c r="F43" s="266">
        <v>865.4789390438234</v>
      </c>
      <c r="G43" s="266">
        <v>1649.4153856559838</v>
      </c>
      <c r="H43" s="266">
        <v>1719.0446825713548</v>
      </c>
      <c r="I43" s="266">
        <v>1768.1909886323392</v>
      </c>
      <c r="J43" s="266">
        <v>1774.888200793733</v>
      </c>
      <c r="K43" s="266">
        <v>1776.569201046243</v>
      </c>
      <c r="L43" s="266">
        <v>1776.569201046243</v>
      </c>
      <c r="M43" s="266">
        <v>1776.569201046243</v>
      </c>
      <c r="N43" s="266">
        <v>1776.569201046243</v>
      </c>
      <c r="O43" s="266">
        <v>1776.569201046243</v>
      </c>
      <c r="P43" s="266">
        <v>1776.569201046243</v>
      </c>
      <c r="Q43" s="266">
        <v>1776.569201046243</v>
      </c>
      <c r="R43" s="266">
        <v>1776.569201046243</v>
      </c>
      <c r="S43" s="266">
        <v>1776.569201046243</v>
      </c>
      <c r="T43" s="266">
        <v>1776.569201046243</v>
      </c>
      <c r="U43" s="266">
        <v>1776.569201046243</v>
      </c>
      <c r="V43" s="266">
        <v>1776.569201046243</v>
      </c>
      <c r="W43" s="266">
        <v>1776.569201046243</v>
      </c>
      <c r="X43" s="266">
        <v>1776.569201046243</v>
      </c>
      <c r="Y43" s="266">
        <v>1776.569201046243</v>
      </c>
      <c r="Z43" s="266">
        <v>1776.569201046243</v>
      </c>
      <c r="AA43" s="266">
        <v>1776.569201046243</v>
      </c>
      <c r="AB43" s="266">
        <v>1776.569201046243</v>
      </c>
      <c r="AC43" s="266">
        <v>1776.569201046243</v>
      </c>
      <c r="AD43" s="266">
        <v>1776.569201046243</v>
      </c>
      <c r="AE43" s="266">
        <v>1776.569201046243</v>
      </c>
      <c r="AF43" s="266">
        <v>1776.569201046243</v>
      </c>
      <c r="AG43" s="266">
        <v>1776.569201046243</v>
      </c>
      <c r="AH43" s="266">
        <v>1776.569201046243</v>
      </c>
      <c r="AI43" s="266">
        <v>1776.569201046243</v>
      </c>
      <c r="AJ43" s="266">
        <v>0</v>
      </c>
      <c r="AK43" s="266">
        <v>0</v>
      </c>
      <c r="AL43" s="266">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215</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0</v>
      </c>
      <c r="AK45" s="45">
        <v>0</v>
      </c>
      <c r="AL45" s="45">
        <v>0</v>
      </c>
    </row>
    <row r="46" spans="1:38" ht="12.75">
      <c r="A46" s="7"/>
      <c r="B46" s="7"/>
      <c r="C46" s="9" t="s">
        <v>216</v>
      </c>
      <c r="D46" s="267">
        <v>0</v>
      </c>
      <c r="E46" s="267">
        <v>0</v>
      </c>
      <c r="F46" s="267">
        <v>0.1593</v>
      </c>
      <c r="G46" s="267">
        <v>0.1593</v>
      </c>
      <c r="H46" s="267">
        <v>0.1593</v>
      </c>
      <c r="I46" s="267">
        <v>0.1593</v>
      </c>
      <c r="J46" s="267">
        <v>0.1593</v>
      </c>
      <c r="K46" s="267">
        <v>0.1593</v>
      </c>
      <c r="L46" s="267">
        <v>0.1593</v>
      </c>
      <c r="M46" s="267">
        <v>0.1593</v>
      </c>
      <c r="N46" s="267">
        <v>0.1593</v>
      </c>
      <c r="O46" s="267">
        <v>0.1593</v>
      </c>
      <c r="P46" s="267">
        <v>0.1593</v>
      </c>
      <c r="Q46" s="267">
        <v>0.1593</v>
      </c>
      <c r="R46" s="267">
        <v>0.1593</v>
      </c>
      <c r="S46" s="267">
        <v>0.1593</v>
      </c>
      <c r="T46" s="267">
        <v>0.1593</v>
      </c>
      <c r="U46" s="267">
        <v>0.1593</v>
      </c>
      <c r="V46" s="267">
        <v>0.1593</v>
      </c>
      <c r="W46" s="267">
        <v>0.1593</v>
      </c>
      <c r="X46" s="267">
        <v>0.1593</v>
      </c>
      <c r="Y46" s="267">
        <v>0.1593</v>
      </c>
      <c r="Z46" s="267">
        <v>0.1593</v>
      </c>
      <c r="AA46" s="267">
        <v>0.1593</v>
      </c>
      <c r="AB46" s="267">
        <v>0.1593</v>
      </c>
      <c r="AC46" s="267">
        <v>0.1593</v>
      </c>
      <c r="AD46" s="267">
        <v>0.1593</v>
      </c>
      <c r="AE46" s="267">
        <v>0.1593</v>
      </c>
      <c r="AF46" s="267">
        <v>0.1593</v>
      </c>
      <c r="AG46" s="267">
        <v>0.1593</v>
      </c>
      <c r="AH46" s="267">
        <v>0.1593</v>
      </c>
      <c r="AI46" s="267">
        <v>0.1593</v>
      </c>
      <c r="AJ46" s="45">
        <v>0</v>
      </c>
      <c r="AK46" s="45">
        <v>0</v>
      </c>
      <c r="AL46" s="45">
        <v>0</v>
      </c>
    </row>
    <row r="47" spans="1:38" ht="12.75">
      <c r="A47" s="7"/>
      <c r="B47" s="369" t="s">
        <v>217</v>
      </c>
      <c r="C47" s="369"/>
      <c r="D47" s="196">
        <v>0</v>
      </c>
      <c r="E47" s="196">
        <v>0</v>
      </c>
      <c r="F47" s="196">
        <v>4141.8</v>
      </c>
      <c r="G47" s="196">
        <v>5416.2</v>
      </c>
      <c r="H47" s="196">
        <v>5416.2</v>
      </c>
      <c r="I47" s="196">
        <v>5416.2</v>
      </c>
      <c r="J47" s="196">
        <v>5416.2</v>
      </c>
      <c r="K47" s="196">
        <v>5416.2</v>
      </c>
      <c r="L47" s="196">
        <v>5416.2</v>
      </c>
      <c r="M47" s="196">
        <v>5416.2</v>
      </c>
      <c r="N47" s="196">
        <v>5416.2</v>
      </c>
      <c r="O47" s="196">
        <v>5416.2</v>
      </c>
      <c r="P47" s="196">
        <v>5416.2</v>
      </c>
      <c r="Q47" s="196">
        <v>5416.2</v>
      </c>
      <c r="R47" s="196">
        <v>5416.2</v>
      </c>
      <c r="S47" s="196">
        <v>5416.2</v>
      </c>
      <c r="T47" s="196">
        <v>5416.2</v>
      </c>
      <c r="U47" s="196">
        <v>5416.2</v>
      </c>
      <c r="V47" s="196">
        <v>5416.2</v>
      </c>
      <c r="W47" s="196">
        <v>5416.2</v>
      </c>
      <c r="X47" s="196">
        <v>5416.2</v>
      </c>
      <c r="Y47" s="196">
        <v>5416.2</v>
      </c>
      <c r="Z47" s="196">
        <v>5416.2</v>
      </c>
      <c r="AA47" s="196">
        <v>5416.2</v>
      </c>
      <c r="AB47" s="196">
        <v>5416.2</v>
      </c>
      <c r="AC47" s="196">
        <v>5416.2</v>
      </c>
      <c r="AD47" s="196">
        <v>5416.2</v>
      </c>
      <c r="AE47" s="196">
        <v>5416.2</v>
      </c>
      <c r="AF47" s="196">
        <v>5416.2</v>
      </c>
      <c r="AG47" s="196">
        <v>5416.2</v>
      </c>
      <c r="AH47" s="196">
        <v>5416.2</v>
      </c>
      <c r="AI47" s="196">
        <v>5416.2</v>
      </c>
      <c r="AJ47" s="46">
        <v>0</v>
      </c>
      <c r="AK47" s="46">
        <v>0</v>
      </c>
      <c r="AL47" s="46">
        <v>0</v>
      </c>
    </row>
    <row r="48" spans="1:38" ht="12.75">
      <c r="A48" s="7"/>
      <c r="B48" s="9"/>
      <c r="C48" s="9"/>
      <c r="D48" s="46"/>
      <c r="E48" s="46"/>
      <c r="F48" s="268"/>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67">
        <v>0</v>
      </c>
      <c r="E50" s="267">
        <v>0</v>
      </c>
      <c r="F50" s="267">
        <v>0</v>
      </c>
      <c r="G50" s="267">
        <v>0</v>
      </c>
      <c r="H50" s="267">
        <v>0</v>
      </c>
      <c r="I50" s="267">
        <v>0</v>
      </c>
      <c r="J50" s="267">
        <v>0</v>
      </c>
      <c r="K50" s="267">
        <v>0</v>
      </c>
      <c r="L50" s="267">
        <v>0</v>
      </c>
      <c r="M50" s="267">
        <v>0</v>
      </c>
      <c r="N50" s="267">
        <v>0</v>
      </c>
      <c r="O50" s="267">
        <v>0</v>
      </c>
      <c r="P50" s="267">
        <v>0</v>
      </c>
      <c r="Q50" s="267">
        <v>0</v>
      </c>
      <c r="R50" s="267">
        <v>0</v>
      </c>
      <c r="S50" s="267">
        <v>0</v>
      </c>
      <c r="T50" s="267">
        <v>0</v>
      </c>
      <c r="U50" s="267">
        <v>0</v>
      </c>
      <c r="V50" s="267">
        <v>0</v>
      </c>
      <c r="W50" s="267">
        <v>0</v>
      </c>
      <c r="X50" s="267">
        <v>0</v>
      </c>
      <c r="Y50" s="267">
        <v>0</v>
      </c>
      <c r="Z50" s="267">
        <v>0</v>
      </c>
      <c r="AA50" s="267">
        <v>0</v>
      </c>
      <c r="AB50" s="267">
        <v>0</v>
      </c>
      <c r="AC50" s="267">
        <v>0</v>
      </c>
      <c r="AD50" s="267">
        <v>0</v>
      </c>
      <c r="AE50" s="267">
        <v>0</v>
      </c>
      <c r="AF50" s="267">
        <v>0</v>
      </c>
      <c r="AG50" s="267">
        <v>0</v>
      </c>
      <c r="AH50" s="267">
        <v>0</v>
      </c>
      <c r="AI50" s="267">
        <v>0</v>
      </c>
      <c r="AJ50" s="45">
        <v>0</v>
      </c>
      <c r="AK50" s="45">
        <v>0</v>
      </c>
      <c r="AL50" s="45">
        <v>0</v>
      </c>
    </row>
    <row r="51" spans="1:38" ht="12.75">
      <c r="A51" s="7"/>
      <c r="B51" s="369" t="s">
        <v>27</v>
      </c>
      <c r="C51" s="369"/>
      <c r="D51" s="196">
        <v>0</v>
      </c>
      <c r="E51" s="196">
        <v>0</v>
      </c>
      <c r="F51" s="196">
        <v>0</v>
      </c>
      <c r="G51" s="196">
        <v>0</v>
      </c>
      <c r="H51" s="196">
        <v>0</v>
      </c>
      <c r="I51" s="196">
        <v>0</v>
      </c>
      <c r="J51" s="196">
        <v>0</v>
      </c>
      <c r="K51" s="196">
        <v>0</v>
      </c>
      <c r="L51" s="196">
        <v>0</v>
      </c>
      <c r="M51" s="196">
        <v>0</v>
      </c>
      <c r="N51" s="196">
        <v>0</v>
      </c>
      <c r="O51" s="196">
        <v>0</v>
      </c>
      <c r="P51" s="196">
        <v>0</v>
      </c>
      <c r="Q51" s="196">
        <v>0</v>
      </c>
      <c r="R51" s="196">
        <v>0</v>
      </c>
      <c r="S51" s="196">
        <v>0</v>
      </c>
      <c r="T51" s="196">
        <v>0</v>
      </c>
      <c r="U51" s="196">
        <v>0</v>
      </c>
      <c r="V51" s="196">
        <v>0</v>
      </c>
      <c r="W51" s="196">
        <v>0</v>
      </c>
      <c r="X51" s="196">
        <v>0</v>
      </c>
      <c r="Y51" s="196">
        <v>0</v>
      </c>
      <c r="Z51" s="196">
        <v>0</v>
      </c>
      <c r="AA51" s="196">
        <v>0</v>
      </c>
      <c r="AB51" s="196">
        <v>0</v>
      </c>
      <c r="AC51" s="196">
        <v>0</v>
      </c>
      <c r="AD51" s="196">
        <v>0</v>
      </c>
      <c r="AE51" s="196">
        <v>0</v>
      </c>
      <c r="AF51" s="196">
        <v>0</v>
      </c>
      <c r="AG51" s="196">
        <v>0</v>
      </c>
      <c r="AH51" s="196">
        <v>0</v>
      </c>
      <c r="AI51" s="196">
        <v>0</v>
      </c>
      <c r="AJ51" s="4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6">
        <v>0</v>
      </c>
      <c r="E53" s="196">
        <v>0</v>
      </c>
      <c r="F53" s="196">
        <v>4141.8</v>
      </c>
      <c r="G53" s="196">
        <v>5416.2</v>
      </c>
      <c r="H53" s="196">
        <v>5416.2</v>
      </c>
      <c r="I53" s="196">
        <v>5416.2</v>
      </c>
      <c r="J53" s="196">
        <v>5416.2</v>
      </c>
      <c r="K53" s="196">
        <v>5416.2</v>
      </c>
      <c r="L53" s="196">
        <v>5416.2</v>
      </c>
      <c r="M53" s="196">
        <v>5416.2</v>
      </c>
      <c r="N53" s="196">
        <v>5416.2</v>
      </c>
      <c r="O53" s="196">
        <v>5416.2</v>
      </c>
      <c r="P53" s="196">
        <v>5416.2</v>
      </c>
      <c r="Q53" s="196">
        <v>5416.2</v>
      </c>
      <c r="R53" s="196">
        <v>5416.2</v>
      </c>
      <c r="S53" s="196">
        <v>5416.2</v>
      </c>
      <c r="T53" s="196">
        <v>5416.2</v>
      </c>
      <c r="U53" s="196">
        <v>5416.2</v>
      </c>
      <c r="V53" s="196">
        <v>5416.2</v>
      </c>
      <c r="W53" s="196">
        <v>5416.2</v>
      </c>
      <c r="X53" s="196">
        <v>5416.2</v>
      </c>
      <c r="Y53" s="196">
        <v>5416.2</v>
      </c>
      <c r="Z53" s="196">
        <v>5416.2</v>
      </c>
      <c r="AA53" s="196">
        <v>5416.2</v>
      </c>
      <c r="AB53" s="196">
        <v>5416.2</v>
      </c>
      <c r="AC53" s="196">
        <v>5416.2</v>
      </c>
      <c r="AD53" s="196">
        <v>5416.2</v>
      </c>
      <c r="AE53" s="196">
        <v>5416.2</v>
      </c>
      <c r="AF53" s="196">
        <v>5416.2</v>
      </c>
      <c r="AG53" s="196">
        <v>5416.2</v>
      </c>
      <c r="AH53" s="196">
        <v>5416.2</v>
      </c>
      <c r="AI53" s="196">
        <v>5416.2</v>
      </c>
      <c r="AJ53" s="46">
        <v>0</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7">
        <v>0</v>
      </c>
      <c r="E55" s="197">
        <v>0</v>
      </c>
      <c r="F55" s="197">
        <v>995.82</v>
      </c>
      <c r="G55" s="197">
        <v>995.82</v>
      </c>
      <c r="H55" s="197">
        <v>995.82</v>
      </c>
      <c r="I55" s="197">
        <v>995.82</v>
      </c>
      <c r="J55" s="197">
        <v>995.82</v>
      </c>
      <c r="K55" s="197">
        <v>995.82</v>
      </c>
      <c r="L55" s="197">
        <v>995.82</v>
      </c>
      <c r="M55" s="197">
        <v>995.82</v>
      </c>
      <c r="N55" s="197">
        <v>995.82</v>
      </c>
      <c r="O55" s="197">
        <v>995.82</v>
      </c>
      <c r="P55" s="197">
        <v>995.82</v>
      </c>
      <c r="Q55" s="197">
        <v>995.82</v>
      </c>
      <c r="R55" s="197">
        <v>995.82</v>
      </c>
      <c r="S55" s="197">
        <v>995.82</v>
      </c>
      <c r="T55" s="197">
        <v>995.82</v>
      </c>
      <c r="U55" s="197">
        <v>995.82</v>
      </c>
      <c r="V55" s="197">
        <v>995.82</v>
      </c>
      <c r="W55" s="197">
        <v>995.82</v>
      </c>
      <c r="X55" s="197">
        <v>995.82</v>
      </c>
      <c r="Y55" s="197">
        <v>995.82</v>
      </c>
      <c r="Z55" s="197">
        <v>995.82</v>
      </c>
      <c r="AA55" s="197">
        <v>995.82</v>
      </c>
      <c r="AB55" s="197">
        <v>995.82</v>
      </c>
      <c r="AC55" s="197">
        <v>995.82</v>
      </c>
      <c r="AD55" s="197">
        <v>995.82</v>
      </c>
      <c r="AE55" s="197">
        <v>995.82</v>
      </c>
      <c r="AF55" s="197">
        <v>995.82</v>
      </c>
      <c r="AG55" s="197">
        <v>995.82</v>
      </c>
      <c r="AH55" s="197">
        <v>995.82</v>
      </c>
      <c r="AI55" s="197">
        <v>995.82</v>
      </c>
      <c r="AJ55" s="45">
        <v>0</v>
      </c>
      <c r="AK55" s="45">
        <v>0</v>
      </c>
      <c r="AL55" s="45">
        <v>0</v>
      </c>
    </row>
    <row r="56" spans="1:38" ht="12.75">
      <c r="A56" s="11"/>
      <c r="B56" s="19"/>
      <c r="C56" s="19"/>
      <c r="D56" s="46"/>
      <c r="E56" s="46"/>
      <c r="F56" s="25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6" customFormat="1" ht="12.75">
      <c r="A57" s="269" t="s">
        <v>64</v>
      </c>
      <c r="B57" s="257"/>
      <c r="C57" s="257"/>
      <c r="D57" s="197">
        <v>0</v>
      </c>
      <c r="E57" s="197">
        <v>0</v>
      </c>
      <c r="F57" s="197">
        <v>0</v>
      </c>
      <c r="G57" s="197">
        <v>0</v>
      </c>
      <c r="H57" s="197">
        <v>0</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c r="AE57" s="197">
        <v>0</v>
      </c>
      <c r="AF57" s="197">
        <v>0</v>
      </c>
      <c r="AG57" s="197">
        <v>0</v>
      </c>
      <c r="AH57" s="197">
        <v>0</v>
      </c>
      <c r="AI57" s="197">
        <v>0</v>
      </c>
      <c r="AJ57" s="197">
        <v>0</v>
      </c>
      <c r="AK57" s="197">
        <v>0</v>
      </c>
      <c r="AL57" s="197">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218</v>
      </c>
      <c r="B59" s="19"/>
      <c r="C59" s="19"/>
      <c r="D59" s="195">
        <v>0</v>
      </c>
      <c r="E59" s="195">
        <v>0</v>
      </c>
      <c r="F59" s="195">
        <v>6003.0989390438235</v>
      </c>
      <c r="G59" s="195">
        <v>8061.435385655983</v>
      </c>
      <c r="H59" s="195">
        <v>8131.064682571354</v>
      </c>
      <c r="I59" s="195">
        <v>8180.210988632339</v>
      </c>
      <c r="J59" s="195">
        <v>8186.908200793732</v>
      </c>
      <c r="K59" s="195">
        <v>8188.589201046243</v>
      </c>
      <c r="L59" s="195">
        <v>8188.589201046243</v>
      </c>
      <c r="M59" s="195">
        <v>8188.589201046243</v>
      </c>
      <c r="N59" s="195">
        <v>8188.589201046243</v>
      </c>
      <c r="O59" s="195">
        <v>8188.589201046243</v>
      </c>
      <c r="P59" s="195">
        <v>8188.589201046243</v>
      </c>
      <c r="Q59" s="195">
        <v>8188.589201046243</v>
      </c>
      <c r="R59" s="195">
        <v>8188.589201046243</v>
      </c>
      <c r="S59" s="195">
        <v>8188.589201046243</v>
      </c>
      <c r="T59" s="195">
        <v>8188.589201046243</v>
      </c>
      <c r="U59" s="195">
        <v>8188.589201046243</v>
      </c>
      <c r="V59" s="195">
        <v>8188.589201046243</v>
      </c>
      <c r="W59" s="195">
        <v>8188.589201046243</v>
      </c>
      <c r="X59" s="195">
        <v>8188.589201046243</v>
      </c>
      <c r="Y59" s="195">
        <v>8188.589201046243</v>
      </c>
      <c r="Z59" s="195">
        <v>8188.589201046243</v>
      </c>
      <c r="AA59" s="195">
        <v>8188.589201046243</v>
      </c>
      <c r="AB59" s="195">
        <v>8188.589201046243</v>
      </c>
      <c r="AC59" s="195">
        <v>8188.589201046243</v>
      </c>
      <c r="AD59" s="195">
        <v>8188.589201046243</v>
      </c>
      <c r="AE59" s="195">
        <v>8188.589201046243</v>
      </c>
      <c r="AF59" s="195">
        <v>8188.589201046243</v>
      </c>
      <c r="AG59" s="195">
        <v>8188.589201046243</v>
      </c>
      <c r="AH59" s="195">
        <v>8188.589201046243</v>
      </c>
      <c r="AI59" s="195">
        <v>8188.589201046243</v>
      </c>
      <c r="AJ59" s="270">
        <v>0</v>
      </c>
      <c r="AK59" s="270">
        <v>0</v>
      </c>
      <c r="AL59" s="270">
        <v>0</v>
      </c>
    </row>
    <row r="60" spans="1:38" s="8" customFormat="1" ht="12.75">
      <c r="A60" s="11"/>
      <c r="B60" s="19"/>
      <c r="C60" s="1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row>
    <row r="61" spans="1:38" s="35" customFormat="1" ht="12.75">
      <c r="A61" s="259" t="s">
        <v>219</v>
      </c>
      <c r="B61" s="271"/>
      <c r="C61" s="271"/>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4">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0</v>
      </c>
      <c r="AK64" s="45">
        <v>0</v>
      </c>
      <c r="AL64" s="45">
        <v>0</v>
      </c>
    </row>
    <row r="65" spans="2:38" ht="12.75">
      <c r="B65" s="9"/>
      <c r="C65" s="34" t="s">
        <v>30</v>
      </c>
      <c r="D65" s="192">
        <v>0</v>
      </c>
      <c r="E65" s="192">
        <v>0</v>
      </c>
      <c r="F65" s="192">
        <v>547.7</v>
      </c>
      <c r="G65" s="192">
        <v>547.7</v>
      </c>
      <c r="H65" s="192">
        <v>547.7</v>
      </c>
      <c r="I65" s="192">
        <v>547.7</v>
      </c>
      <c r="J65" s="192">
        <v>547.7</v>
      </c>
      <c r="K65" s="192">
        <v>547.7</v>
      </c>
      <c r="L65" s="192">
        <v>547.7</v>
      </c>
      <c r="M65" s="192">
        <v>547.7</v>
      </c>
      <c r="N65" s="192">
        <v>547.7</v>
      </c>
      <c r="O65" s="192">
        <v>547.7</v>
      </c>
      <c r="P65" s="192">
        <v>547.7</v>
      </c>
      <c r="Q65" s="192">
        <v>547.7</v>
      </c>
      <c r="R65" s="192">
        <v>547.7</v>
      </c>
      <c r="S65" s="192">
        <v>547.7</v>
      </c>
      <c r="T65" s="192">
        <v>547.7</v>
      </c>
      <c r="U65" s="192">
        <v>547.7</v>
      </c>
      <c r="V65" s="192">
        <v>547.7</v>
      </c>
      <c r="W65" s="192">
        <v>547.7</v>
      </c>
      <c r="X65" s="192">
        <v>547.7</v>
      </c>
      <c r="Y65" s="192">
        <v>547.7</v>
      </c>
      <c r="Z65" s="192">
        <v>547.7</v>
      </c>
      <c r="AA65" s="192">
        <v>547.7</v>
      </c>
      <c r="AB65" s="192">
        <v>547.7</v>
      </c>
      <c r="AC65" s="192">
        <v>547.7</v>
      </c>
      <c r="AD65" s="192">
        <v>547.7</v>
      </c>
      <c r="AE65" s="192">
        <v>547.7</v>
      </c>
      <c r="AF65" s="192">
        <v>547.7</v>
      </c>
      <c r="AG65" s="192">
        <v>547.7</v>
      </c>
      <c r="AH65" s="192">
        <v>547.7</v>
      </c>
      <c r="AI65" s="192">
        <v>547.7</v>
      </c>
      <c r="AJ65" s="45">
        <v>0</v>
      </c>
      <c r="AK65" s="45">
        <v>0</v>
      </c>
      <c r="AL65" s="45">
        <v>0</v>
      </c>
    </row>
    <row r="66" spans="2:38" ht="12.75">
      <c r="B66" s="9"/>
      <c r="C66" s="21" t="str">
        <f>"Odvody zamestnávateľa "&amp;TEXT(D63,"0,0%")</f>
        <v>Odvody zamestnávateľa 35,2%</v>
      </c>
      <c r="D66" s="196">
        <v>0</v>
      </c>
      <c r="E66" s="196">
        <v>0</v>
      </c>
      <c r="F66" s="196">
        <v>2313.4848</v>
      </c>
      <c r="G66" s="196">
        <v>2313.4848</v>
      </c>
      <c r="H66" s="196">
        <v>2313.4848</v>
      </c>
      <c r="I66" s="196">
        <v>2313.4848</v>
      </c>
      <c r="J66" s="196">
        <v>2313.4848</v>
      </c>
      <c r="K66" s="196">
        <v>2313.4848</v>
      </c>
      <c r="L66" s="196">
        <v>2313.4848</v>
      </c>
      <c r="M66" s="196">
        <v>2313.4848</v>
      </c>
      <c r="N66" s="196">
        <v>2313.4848</v>
      </c>
      <c r="O66" s="196">
        <v>2313.4848</v>
      </c>
      <c r="P66" s="196">
        <v>2313.4848</v>
      </c>
      <c r="Q66" s="196">
        <v>2313.4848</v>
      </c>
      <c r="R66" s="196">
        <v>2313.4848</v>
      </c>
      <c r="S66" s="196">
        <v>2313.4848</v>
      </c>
      <c r="T66" s="196">
        <v>2313.4848</v>
      </c>
      <c r="U66" s="196">
        <v>2313.4848</v>
      </c>
      <c r="V66" s="196">
        <v>2313.4848</v>
      </c>
      <c r="W66" s="196">
        <v>2313.4848</v>
      </c>
      <c r="X66" s="196">
        <v>2313.4848</v>
      </c>
      <c r="Y66" s="196">
        <v>2313.4848</v>
      </c>
      <c r="Z66" s="196">
        <v>2313.4848</v>
      </c>
      <c r="AA66" s="196">
        <v>2313.4848</v>
      </c>
      <c r="AB66" s="196">
        <v>2313.4848</v>
      </c>
      <c r="AC66" s="196">
        <v>2313.4848</v>
      </c>
      <c r="AD66" s="196">
        <v>2313.4848</v>
      </c>
      <c r="AE66" s="196">
        <v>2313.4848</v>
      </c>
      <c r="AF66" s="196">
        <v>2313.4848</v>
      </c>
      <c r="AG66" s="196">
        <v>2313.4848</v>
      </c>
      <c r="AH66" s="196">
        <v>2313.4848</v>
      </c>
      <c r="AI66" s="196">
        <v>2313.4848</v>
      </c>
      <c r="AJ66" s="46">
        <v>0</v>
      </c>
      <c r="AK66" s="46">
        <v>0</v>
      </c>
      <c r="AL66" s="46">
        <v>0</v>
      </c>
    </row>
    <row r="67" spans="2:38" ht="12.75">
      <c r="B67" s="9"/>
      <c r="C67" s="21"/>
      <c r="D67" s="46"/>
      <c r="E67" s="46"/>
      <c r="F67" s="264"/>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6">
        <v>0</v>
      </c>
      <c r="E68" s="196">
        <v>0</v>
      </c>
      <c r="F68" s="196">
        <v>8885.8848</v>
      </c>
      <c r="G68" s="196">
        <v>8885.8848</v>
      </c>
      <c r="H68" s="196">
        <v>8885.8848</v>
      </c>
      <c r="I68" s="196">
        <v>8885.8848</v>
      </c>
      <c r="J68" s="196">
        <v>8885.8848</v>
      </c>
      <c r="K68" s="196">
        <v>8885.8848</v>
      </c>
      <c r="L68" s="196">
        <v>8885.8848</v>
      </c>
      <c r="M68" s="196">
        <v>8885.8848</v>
      </c>
      <c r="N68" s="196">
        <v>8885.8848</v>
      </c>
      <c r="O68" s="196">
        <v>8885.8848</v>
      </c>
      <c r="P68" s="196">
        <v>8885.8848</v>
      </c>
      <c r="Q68" s="196">
        <v>8885.8848</v>
      </c>
      <c r="R68" s="196">
        <v>8885.8848</v>
      </c>
      <c r="S68" s="196">
        <v>8885.8848</v>
      </c>
      <c r="T68" s="196">
        <v>8885.8848</v>
      </c>
      <c r="U68" s="196">
        <v>8885.8848</v>
      </c>
      <c r="V68" s="196">
        <v>8885.8848</v>
      </c>
      <c r="W68" s="196">
        <v>8885.8848</v>
      </c>
      <c r="X68" s="196">
        <v>8885.8848</v>
      </c>
      <c r="Y68" s="196">
        <v>8885.8848</v>
      </c>
      <c r="Z68" s="196">
        <v>8885.8848</v>
      </c>
      <c r="AA68" s="196">
        <v>8885.8848</v>
      </c>
      <c r="AB68" s="196">
        <v>8885.8848</v>
      </c>
      <c r="AC68" s="196">
        <v>8885.8848</v>
      </c>
      <c r="AD68" s="196">
        <v>8885.8848</v>
      </c>
      <c r="AE68" s="196">
        <v>8885.8848</v>
      </c>
      <c r="AF68" s="196">
        <v>8885.8848</v>
      </c>
      <c r="AG68" s="196">
        <v>8885.8848</v>
      </c>
      <c r="AH68" s="196">
        <v>8885.8848</v>
      </c>
      <c r="AI68" s="196">
        <v>8885.8848</v>
      </c>
      <c r="AJ68" s="46">
        <v>0</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127</v>
      </c>
      <c r="B70" s="19"/>
      <c r="C70" s="19"/>
      <c r="D70" s="197">
        <v>0</v>
      </c>
      <c r="E70" s="197">
        <v>0</v>
      </c>
      <c r="F70" s="197">
        <v>497.91</v>
      </c>
      <c r="G70" s="197">
        <v>497.91</v>
      </c>
      <c r="H70" s="197">
        <v>497.91</v>
      </c>
      <c r="I70" s="197">
        <v>497.91</v>
      </c>
      <c r="J70" s="197">
        <v>497.91</v>
      </c>
      <c r="K70" s="197">
        <v>497.91</v>
      </c>
      <c r="L70" s="197">
        <v>497.91</v>
      </c>
      <c r="M70" s="197">
        <v>497.91</v>
      </c>
      <c r="N70" s="197">
        <v>497.91</v>
      </c>
      <c r="O70" s="197">
        <v>497.91</v>
      </c>
      <c r="P70" s="197">
        <v>497.94</v>
      </c>
      <c r="Q70" s="197">
        <v>497.98</v>
      </c>
      <c r="R70" s="197">
        <v>498.01</v>
      </c>
      <c r="S70" s="197">
        <v>498.04</v>
      </c>
      <c r="T70" s="197">
        <v>498.07</v>
      </c>
      <c r="U70" s="197">
        <v>498.11</v>
      </c>
      <c r="V70" s="197">
        <v>498.14</v>
      </c>
      <c r="W70" s="197">
        <v>498.17</v>
      </c>
      <c r="X70" s="197">
        <v>498.21</v>
      </c>
      <c r="Y70" s="197">
        <v>498.24</v>
      </c>
      <c r="Z70" s="197">
        <v>498.27</v>
      </c>
      <c r="AA70" s="197">
        <v>498.31</v>
      </c>
      <c r="AB70" s="197">
        <v>498.34</v>
      </c>
      <c r="AC70" s="197">
        <v>498.37</v>
      </c>
      <c r="AD70" s="197">
        <v>498.41</v>
      </c>
      <c r="AE70" s="197">
        <v>498.44</v>
      </c>
      <c r="AF70" s="197">
        <v>498.47</v>
      </c>
      <c r="AG70" s="197">
        <v>498.51</v>
      </c>
      <c r="AH70" s="197">
        <v>498.54</v>
      </c>
      <c r="AI70" s="197">
        <v>498.57</v>
      </c>
      <c r="AJ70" s="197">
        <v>0</v>
      </c>
      <c r="AK70" s="197">
        <v>0</v>
      </c>
      <c r="AL70" s="197">
        <v>0</v>
      </c>
    </row>
    <row r="71" spans="4:38" ht="12.75">
      <c r="D71" s="46"/>
      <c r="E71" s="46"/>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46"/>
      <c r="AK71" s="46"/>
      <c r="AL71" s="46"/>
    </row>
    <row r="72" spans="1:38" s="196" customFormat="1" ht="12.75">
      <c r="A72" s="269" t="s">
        <v>64</v>
      </c>
      <c r="B72" s="254"/>
      <c r="C72" s="254"/>
      <c r="D72" s="197">
        <v>0</v>
      </c>
      <c r="E72" s="197">
        <v>0</v>
      </c>
      <c r="F72" s="197">
        <v>0</v>
      </c>
      <c r="G72" s="197">
        <v>0</v>
      </c>
      <c r="H72" s="197">
        <v>0</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c r="AE72" s="197">
        <v>0</v>
      </c>
      <c r="AF72" s="197">
        <v>0</v>
      </c>
      <c r="AG72" s="197">
        <v>0</v>
      </c>
      <c r="AH72" s="197">
        <v>0</v>
      </c>
      <c r="AI72" s="197">
        <v>0</v>
      </c>
      <c r="AJ72" s="197">
        <v>0</v>
      </c>
      <c r="AK72" s="197">
        <v>0</v>
      </c>
      <c r="AL72" s="197">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6" customFormat="1" ht="12.75">
      <c r="A74" s="269" t="s">
        <v>65</v>
      </c>
      <c r="B74" s="257"/>
      <c r="C74" s="257"/>
      <c r="D74" s="197">
        <v>0</v>
      </c>
      <c r="E74" s="197">
        <v>0</v>
      </c>
      <c r="F74" s="197">
        <v>0</v>
      </c>
      <c r="G74" s="197">
        <v>0</v>
      </c>
      <c r="H74" s="197">
        <v>0</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c r="AE74" s="197">
        <v>0</v>
      </c>
      <c r="AF74" s="197">
        <v>0</v>
      </c>
      <c r="AG74" s="197">
        <v>0</v>
      </c>
      <c r="AH74" s="197">
        <v>0</v>
      </c>
      <c r="AI74" s="197">
        <v>0</v>
      </c>
      <c r="AJ74" s="197">
        <v>0</v>
      </c>
      <c r="AK74" s="197">
        <v>0</v>
      </c>
      <c r="AL74" s="197">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6" customFormat="1" ht="12.75">
      <c r="A76" s="269" t="s">
        <v>66</v>
      </c>
      <c r="B76" s="257"/>
      <c r="C76" s="257"/>
      <c r="D76" s="197">
        <v>0</v>
      </c>
      <c r="E76" s="197">
        <v>0</v>
      </c>
      <c r="F76" s="197">
        <v>0</v>
      </c>
      <c r="G76" s="197">
        <v>0</v>
      </c>
      <c r="H76" s="197">
        <v>0</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c r="AE76" s="197">
        <v>0</v>
      </c>
      <c r="AF76" s="197">
        <v>0</v>
      </c>
      <c r="AG76" s="197">
        <v>0</v>
      </c>
      <c r="AH76" s="197">
        <v>0</v>
      </c>
      <c r="AI76" s="197">
        <v>0</v>
      </c>
      <c r="AJ76" s="197">
        <v>0</v>
      </c>
      <c r="AK76" s="197">
        <v>0</v>
      </c>
      <c r="AL76" s="197">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5" customFormat="1" ht="12.75">
      <c r="A78" s="269" t="s">
        <v>220</v>
      </c>
      <c r="B78" s="254"/>
      <c r="C78" s="254"/>
      <c r="D78" s="195">
        <v>0</v>
      </c>
      <c r="E78" s="195">
        <v>0</v>
      </c>
      <c r="F78" s="195">
        <v>8885.8848</v>
      </c>
      <c r="G78" s="195">
        <v>8885.8848</v>
      </c>
      <c r="H78" s="195">
        <v>8885.8848</v>
      </c>
      <c r="I78" s="195">
        <v>8885.8848</v>
      </c>
      <c r="J78" s="195">
        <v>8885.8848</v>
      </c>
      <c r="K78" s="195">
        <v>8885.8848</v>
      </c>
      <c r="L78" s="195">
        <v>8885.8848</v>
      </c>
      <c r="M78" s="195">
        <v>8885.8848</v>
      </c>
      <c r="N78" s="195">
        <v>8885.8848</v>
      </c>
      <c r="O78" s="195">
        <v>8885.8848</v>
      </c>
      <c r="P78" s="195">
        <v>8885.8848</v>
      </c>
      <c r="Q78" s="195">
        <v>8885.8848</v>
      </c>
      <c r="R78" s="195">
        <v>8885.8848</v>
      </c>
      <c r="S78" s="195">
        <v>8885.8848</v>
      </c>
      <c r="T78" s="195">
        <v>8885.8848</v>
      </c>
      <c r="U78" s="195">
        <v>8885.8848</v>
      </c>
      <c r="V78" s="195">
        <v>8885.8848</v>
      </c>
      <c r="W78" s="195">
        <v>8885.8848</v>
      </c>
      <c r="X78" s="195">
        <v>8885.8848</v>
      </c>
      <c r="Y78" s="195">
        <v>8885.8848</v>
      </c>
      <c r="Z78" s="195">
        <v>8885.8848</v>
      </c>
      <c r="AA78" s="195">
        <v>8885.8848</v>
      </c>
      <c r="AB78" s="195">
        <v>8885.8848</v>
      </c>
      <c r="AC78" s="195">
        <v>8885.8848</v>
      </c>
      <c r="AD78" s="195">
        <v>8885.8848</v>
      </c>
      <c r="AE78" s="195">
        <v>8885.8848</v>
      </c>
      <c r="AF78" s="195">
        <v>8885.8848</v>
      </c>
      <c r="AG78" s="195">
        <v>8885.8848</v>
      </c>
      <c r="AH78" s="195">
        <v>8885.8848</v>
      </c>
      <c r="AI78" s="195">
        <v>8885.8848</v>
      </c>
      <c r="AJ78" s="195">
        <v>0</v>
      </c>
      <c r="AK78" s="195">
        <v>0</v>
      </c>
      <c r="AL78" s="195">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5" customFormat="1" ht="12.75">
      <c r="A80" s="269" t="s">
        <v>35</v>
      </c>
      <c r="B80" s="254"/>
      <c r="C80" s="254"/>
      <c r="D80" s="195">
        <v>0</v>
      </c>
      <c r="E80" s="195">
        <v>0</v>
      </c>
      <c r="F80" s="195">
        <v>16648.263739043825</v>
      </c>
      <c r="G80" s="195">
        <v>18706.60018565598</v>
      </c>
      <c r="H80" s="195">
        <v>18776.229482571354</v>
      </c>
      <c r="I80" s="195">
        <v>18825.375788632336</v>
      </c>
      <c r="J80" s="195">
        <v>18832.07300079373</v>
      </c>
      <c r="K80" s="195">
        <v>18900.144001046243</v>
      </c>
      <c r="L80" s="195">
        <v>18900.144001046243</v>
      </c>
      <c r="M80" s="195">
        <v>18900.144001046243</v>
      </c>
      <c r="N80" s="195">
        <v>18900.144001046243</v>
      </c>
      <c r="O80" s="195">
        <v>18900.144001046243</v>
      </c>
      <c r="P80" s="195">
        <v>18999.72400104624</v>
      </c>
      <c r="Q80" s="195">
        <v>18999.72400104624</v>
      </c>
      <c r="R80" s="195">
        <v>18999.72400104624</v>
      </c>
      <c r="S80" s="195">
        <v>18999.72400104624</v>
      </c>
      <c r="T80" s="195">
        <v>18999.72400104624</v>
      </c>
      <c r="U80" s="195">
        <v>18999.72400104624</v>
      </c>
      <c r="V80" s="195">
        <v>18999.72400104624</v>
      </c>
      <c r="W80" s="195">
        <v>18999.72400104624</v>
      </c>
      <c r="X80" s="195">
        <v>18999.72400104624</v>
      </c>
      <c r="Y80" s="195">
        <v>18999.72400104624</v>
      </c>
      <c r="Z80" s="195">
        <v>18999.72400104624</v>
      </c>
      <c r="AA80" s="195">
        <v>18999.72400104624</v>
      </c>
      <c r="AB80" s="195">
        <v>18999.72400104624</v>
      </c>
      <c r="AC80" s="195">
        <v>18999.72400104624</v>
      </c>
      <c r="AD80" s="195">
        <v>18999.72400104624</v>
      </c>
      <c r="AE80" s="195">
        <v>18999.72400104624</v>
      </c>
      <c r="AF80" s="195">
        <v>18999.72400104624</v>
      </c>
      <c r="AG80" s="195">
        <v>18999.72400104624</v>
      </c>
      <c r="AH80" s="195">
        <v>18999.72400104624</v>
      </c>
      <c r="AI80" s="195">
        <v>18999.72400104624</v>
      </c>
      <c r="AJ80" s="195">
        <v>0</v>
      </c>
      <c r="AK80" s="195">
        <v>0</v>
      </c>
      <c r="AL80" s="195">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scale="50" r:id="rId3"/>
  <colBreaks count="1" manualBreakCount="1">
    <brk id="19" max="85" man="1"/>
  </colBreaks>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view="pageBreakPreview" zoomScale="60" zoomScaleNormal="85" zoomScalePageLayoutView="0" workbookViewId="0" topLeftCell="A1">
      <selection activeCell="L46" sqref="L46"/>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174</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5" ht="12.75">
      <c r="C3" s="274" t="s">
        <v>221</v>
      </c>
      <c r="D3" s="275">
        <v>930</v>
      </c>
      <c r="E3" s="276">
        <v>939.3</v>
      </c>
      <c r="F3" s="276">
        <v>948.693</v>
      </c>
      <c r="G3" s="276">
        <v>956.282544</v>
      </c>
      <c r="H3" s="276">
        <v>962.9765218079999</v>
      </c>
      <c r="I3" s="276">
        <v>968.7543809388479</v>
      </c>
      <c r="J3" s="276">
        <v>972.6293984626034</v>
      </c>
      <c r="K3" s="276">
        <v>973.6020278610658</v>
      </c>
      <c r="L3" s="276">
        <v>973.6020278610658</v>
      </c>
      <c r="M3" s="276">
        <v>973.6020278610658</v>
      </c>
      <c r="N3" s="276">
        <v>973.6020278610658</v>
      </c>
      <c r="O3" s="276">
        <v>973.6020278610658</v>
      </c>
      <c r="P3" s="276">
        <v>973.6020278610658</v>
      </c>
      <c r="Q3" s="276">
        <v>973.6020278610658</v>
      </c>
      <c r="R3" s="276">
        <v>973.6020278610658</v>
      </c>
      <c r="S3" s="276">
        <v>973.6020278610658</v>
      </c>
      <c r="T3" s="276">
        <v>973.6020278610658</v>
      </c>
      <c r="U3" s="276">
        <v>973.6020278610658</v>
      </c>
      <c r="V3" s="276">
        <v>973.6020278610658</v>
      </c>
      <c r="W3" s="276">
        <v>973.6020278610658</v>
      </c>
      <c r="X3" s="276">
        <v>973.6020278610658</v>
      </c>
      <c r="Y3" s="276">
        <v>973.6020278610658</v>
      </c>
      <c r="Z3" s="276">
        <v>973.6020278610658</v>
      </c>
      <c r="AA3" s="276">
        <v>973.6020278610658</v>
      </c>
      <c r="AB3" s="276">
        <v>973.6020278610658</v>
      </c>
      <c r="AC3" s="276">
        <v>973.6020278610658</v>
      </c>
      <c r="AD3" s="276">
        <v>973.6020278610658</v>
      </c>
      <c r="AE3" s="276">
        <v>973.6020278610658</v>
      </c>
      <c r="AF3" s="276">
        <v>973.6020278610658</v>
      </c>
      <c r="AG3" s="276">
        <v>973.6020278610658</v>
      </c>
      <c r="AH3" s="276">
        <v>973.6020278610658</v>
      </c>
      <c r="AI3" s="276">
        <v>973.6020278610658</v>
      </c>
    </row>
    <row r="4" spans="3:35" ht="12.75">
      <c r="C4" s="262" t="s">
        <v>222</v>
      </c>
      <c r="D4" s="277">
        <v>0.01</v>
      </c>
      <c r="E4" s="277">
        <v>0.01</v>
      </c>
      <c r="F4" s="277">
        <v>0.008</v>
      </c>
      <c r="G4" s="277">
        <v>0.007</v>
      </c>
      <c r="H4" s="277">
        <v>0.006</v>
      </c>
      <c r="I4" s="277">
        <v>0.004</v>
      </c>
      <c r="J4" s="277">
        <v>0.001</v>
      </c>
      <c r="K4" s="277">
        <v>0</v>
      </c>
      <c r="L4" s="277">
        <v>0</v>
      </c>
      <c r="M4" s="277">
        <v>0</v>
      </c>
      <c r="N4" s="277">
        <v>0</v>
      </c>
      <c r="O4" s="277">
        <v>0</v>
      </c>
      <c r="P4" s="277">
        <v>0</v>
      </c>
      <c r="Q4" s="277">
        <v>0</v>
      </c>
      <c r="R4" s="277">
        <v>0</v>
      </c>
      <c r="S4" s="277">
        <v>0</v>
      </c>
      <c r="T4" s="277">
        <v>0</v>
      </c>
      <c r="U4" s="277">
        <v>0</v>
      </c>
      <c r="V4" s="277">
        <v>0</v>
      </c>
      <c r="W4" s="277">
        <v>0</v>
      </c>
      <c r="X4" s="277">
        <v>0</v>
      </c>
      <c r="Y4" s="277">
        <v>0</v>
      </c>
      <c r="Z4" s="277">
        <v>0</v>
      </c>
      <c r="AA4" s="277">
        <v>0</v>
      </c>
      <c r="AB4" s="277">
        <v>0</v>
      </c>
      <c r="AC4" s="277">
        <v>0</v>
      </c>
      <c r="AD4" s="277">
        <v>0</v>
      </c>
      <c r="AE4" s="277">
        <v>0</v>
      </c>
      <c r="AF4" s="277">
        <v>0</v>
      </c>
      <c r="AG4" s="277">
        <v>0</v>
      </c>
      <c r="AH4" s="277">
        <v>0</v>
      </c>
      <c r="AI4" s="277">
        <v>0</v>
      </c>
    </row>
    <row r="5" ht="12.75">
      <c r="C5" s="274"/>
    </row>
    <row r="6" spans="3:35" ht="12.75">
      <c r="C6" s="262" t="s">
        <v>223</v>
      </c>
      <c r="D6" s="278">
        <v>0</v>
      </c>
      <c r="E6" s="278">
        <v>0</v>
      </c>
      <c r="F6" s="278">
        <v>0.4</v>
      </c>
      <c r="G6" s="278">
        <v>0.8</v>
      </c>
      <c r="H6" s="278">
        <v>0.83</v>
      </c>
      <c r="I6" s="278">
        <v>0.85</v>
      </c>
      <c r="J6" s="278">
        <v>0.85</v>
      </c>
      <c r="K6" s="278">
        <v>0.85</v>
      </c>
      <c r="L6" s="278">
        <v>0.85</v>
      </c>
      <c r="M6" s="278">
        <v>0.85</v>
      </c>
      <c r="N6" s="278">
        <v>0.85</v>
      </c>
      <c r="O6" s="278">
        <v>0.85</v>
      </c>
      <c r="P6" s="278">
        <v>0.85</v>
      </c>
      <c r="Q6" s="278">
        <v>0.85</v>
      </c>
      <c r="R6" s="278">
        <v>0.85</v>
      </c>
      <c r="S6" s="278">
        <v>0.85</v>
      </c>
      <c r="T6" s="278">
        <v>0.85</v>
      </c>
      <c r="U6" s="278">
        <v>0.85</v>
      </c>
      <c r="V6" s="278">
        <v>0.85</v>
      </c>
      <c r="W6" s="278">
        <v>0.85</v>
      </c>
      <c r="X6" s="278">
        <v>0.85</v>
      </c>
      <c r="Y6" s="278">
        <v>0.85</v>
      </c>
      <c r="Z6" s="278">
        <v>0.85</v>
      </c>
      <c r="AA6" s="278">
        <v>0.85</v>
      </c>
      <c r="AB6" s="278">
        <v>0.85</v>
      </c>
      <c r="AC6" s="278">
        <v>0.85</v>
      </c>
      <c r="AD6" s="278">
        <v>0.85</v>
      </c>
      <c r="AE6" s="278">
        <v>0.85</v>
      </c>
      <c r="AF6" s="278">
        <v>0.85</v>
      </c>
      <c r="AG6" s="278">
        <v>0.85</v>
      </c>
      <c r="AH6" s="278">
        <v>0.85</v>
      </c>
      <c r="AI6" s="278">
        <v>0.85</v>
      </c>
    </row>
    <row r="7" spans="3:35" ht="12.75">
      <c r="C7" s="262" t="s">
        <v>224</v>
      </c>
      <c r="D7" s="276">
        <v>0</v>
      </c>
      <c r="E7" s="276">
        <v>0</v>
      </c>
      <c r="F7" s="276">
        <v>379.47720000000004</v>
      </c>
      <c r="G7" s="276">
        <v>765.0260352</v>
      </c>
      <c r="H7" s="276">
        <v>799.2705131006398</v>
      </c>
      <c r="I7" s="276">
        <v>823.4412237980207</v>
      </c>
      <c r="J7" s="276">
        <v>826.7349886932128</v>
      </c>
      <c r="K7" s="276">
        <v>827.561723681906</v>
      </c>
      <c r="L7" s="276">
        <v>827.561723681906</v>
      </c>
      <c r="M7" s="276">
        <v>827.561723681906</v>
      </c>
      <c r="N7" s="276">
        <v>827.561723681906</v>
      </c>
      <c r="O7" s="276">
        <v>827.561723681906</v>
      </c>
      <c r="P7" s="276">
        <v>827.561723681906</v>
      </c>
      <c r="Q7" s="276">
        <v>827.561723681906</v>
      </c>
      <c r="R7" s="276">
        <v>827.561723681906</v>
      </c>
      <c r="S7" s="276">
        <v>827.561723681906</v>
      </c>
      <c r="T7" s="276">
        <v>827.561723681906</v>
      </c>
      <c r="U7" s="276">
        <v>827.561723681906</v>
      </c>
      <c r="V7" s="276">
        <v>827.561723681906</v>
      </c>
      <c r="W7" s="276">
        <v>827.561723681906</v>
      </c>
      <c r="X7" s="276">
        <v>827.561723681906</v>
      </c>
      <c r="Y7" s="276">
        <v>827.561723681906</v>
      </c>
      <c r="Z7" s="276">
        <v>827.561723681906</v>
      </c>
      <c r="AA7" s="276">
        <v>827.561723681906</v>
      </c>
      <c r="AB7" s="276">
        <v>827.561723681906</v>
      </c>
      <c r="AC7" s="276">
        <v>827.561723681906</v>
      </c>
      <c r="AD7" s="276">
        <v>827.561723681906</v>
      </c>
      <c r="AE7" s="276">
        <v>827.561723681906</v>
      </c>
      <c r="AF7" s="276">
        <v>827.561723681906</v>
      </c>
      <c r="AG7" s="276">
        <v>827.561723681906</v>
      </c>
      <c r="AH7" s="276">
        <v>827.561723681906</v>
      </c>
      <c r="AI7" s="276">
        <v>827.561723681906</v>
      </c>
    </row>
    <row r="8" ht="12.75">
      <c r="C8" s="274"/>
    </row>
    <row r="9" spans="1:3" ht="12.75">
      <c r="A9" s="34" t="s">
        <v>225</v>
      </c>
      <c r="C9" s="274"/>
    </row>
    <row r="10" spans="3:35" ht="12.75">
      <c r="C10" s="262" t="s">
        <v>226</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row>
    <row r="11" spans="3:35" ht="12.75">
      <c r="C11" s="262" t="s">
        <v>227</v>
      </c>
      <c r="D11" s="279">
        <v>32.485</v>
      </c>
      <c r="E11" s="279">
        <v>32.485</v>
      </c>
      <c r="F11" s="279">
        <v>32.485</v>
      </c>
      <c r="G11" s="279">
        <v>32.485</v>
      </c>
      <c r="H11" s="279">
        <v>32.485</v>
      </c>
      <c r="I11" s="279">
        <v>32.485</v>
      </c>
      <c r="J11" s="279">
        <v>32.485</v>
      </c>
      <c r="K11" s="279">
        <v>32.485</v>
      </c>
      <c r="L11" s="279">
        <v>32.485</v>
      </c>
      <c r="M11" s="279">
        <v>32.485</v>
      </c>
      <c r="N11" s="279">
        <v>32.485</v>
      </c>
      <c r="O11" s="279">
        <v>32.485</v>
      </c>
      <c r="P11" s="279">
        <v>32.485</v>
      </c>
      <c r="Q11" s="279">
        <v>32.485</v>
      </c>
      <c r="R11" s="279">
        <v>32.485</v>
      </c>
      <c r="S11" s="279">
        <v>32.485</v>
      </c>
      <c r="T11" s="279">
        <v>32.485</v>
      </c>
      <c r="U11" s="279">
        <v>32.485</v>
      </c>
      <c r="V11" s="279">
        <v>32.485</v>
      </c>
      <c r="W11" s="279">
        <v>32.485</v>
      </c>
      <c r="X11" s="279">
        <v>32.485</v>
      </c>
      <c r="Y11" s="279">
        <v>32.485</v>
      </c>
      <c r="Z11" s="279">
        <v>32.485</v>
      </c>
      <c r="AA11" s="279">
        <v>32.485</v>
      </c>
      <c r="AB11" s="279">
        <v>32.485</v>
      </c>
      <c r="AC11" s="279">
        <v>32.485</v>
      </c>
      <c r="AD11" s="279">
        <v>32.485</v>
      </c>
      <c r="AE11" s="279">
        <v>32.485</v>
      </c>
      <c r="AF11" s="279">
        <v>32.485</v>
      </c>
      <c r="AG11" s="279">
        <v>32.485</v>
      </c>
      <c r="AH11" s="279">
        <v>32.485</v>
      </c>
      <c r="AI11" s="279">
        <v>32.485</v>
      </c>
    </row>
    <row r="12" ht="12.75"/>
    <row r="13" spans="3:38" ht="12.75">
      <c r="C13" s="262" t="s">
        <v>228</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5">
        <v>0</v>
      </c>
      <c r="AK13" s="45">
        <v>0</v>
      </c>
      <c r="AL13" s="45">
        <v>0</v>
      </c>
    </row>
    <row r="14" spans="3:38" ht="12.75">
      <c r="C14" s="262" t="s">
        <v>229</v>
      </c>
      <c r="D14" s="267">
        <v>0</v>
      </c>
      <c r="E14" s="267">
        <v>0</v>
      </c>
      <c r="F14" s="267">
        <v>1.1452</v>
      </c>
      <c r="G14" s="267">
        <v>1.1452</v>
      </c>
      <c r="H14" s="267">
        <v>1.1452</v>
      </c>
      <c r="I14" s="267">
        <v>1.1452</v>
      </c>
      <c r="J14" s="267">
        <v>1.1452</v>
      </c>
      <c r="K14" s="267">
        <v>1.1452</v>
      </c>
      <c r="L14" s="267">
        <v>1.1452</v>
      </c>
      <c r="M14" s="267">
        <v>1.1452</v>
      </c>
      <c r="N14" s="267">
        <v>1.1452</v>
      </c>
      <c r="O14" s="267">
        <v>1.1452</v>
      </c>
      <c r="P14" s="267">
        <v>1.1452</v>
      </c>
      <c r="Q14" s="267">
        <v>1.1452</v>
      </c>
      <c r="R14" s="267">
        <v>1.1452</v>
      </c>
      <c r="S14" s="267">
        <v>1.1452</v>
      </c>
      <c r="T14" s="267">
        <v>1.1452</v>
      </c>
      <c r="U14" s="267">
        <v>1.1452</v>
      </c>
      <c r="V14" s="267">
        <v>1.1452</v>
      </c>
      <c r="W14" s="267">
        <v>1.1452</v>
      </c>
      <c r="X14" s="267">
        <v>1.1452</v>
      </c>
      <c r="Y14" s="267">
        <v>1.1452</v>
      </c>
      <c r="Z14" s="267">
        <v>1.1452</v>
      </c>
      <c r="AA14" s="267">
        <v>1.1452</v>
      </c>
      <c r="AB14" s="267">
        <v>1.1452</v>
      </c>
      <c r="AC14" s="267">
        <v>1.1452</v>
      </c>
      <c r="AD14" s="267">
        <v>1.1452</v>
      </c>
      <c r="AE14" s="267">
        <v>1.1452</v>
      </c>
      <c r="AF14" s="267">
        <v>1.1452</v>
      </c>
      <c r="AG14" s="267">
        <v>1.1452</v>
      </c>
      <c r="AH14" s="267">
        <v>1.1452</v>
      </c>
      <c r="AI14" s="267">
        <v>1.1452</v>
      </c>
      <c r="AJ14" s="45">
        <v>0</v>
      </c>
      <c r="AK14" s="45">
        <v>0</v>
      </c>
      <c r="AL14" s="45">
        <v>0</v>
      </c>
    </row>
    <row r="15" spans="2:38" ht="12.75">
      <c r="B15" s="369" t="s">
        <v>230</v>
      </c>
      <c r="C15" s="369"/>
      <c r="D15" s="196">
        <v>0</v>
      </c>
      <c r="E15" s="196">
        <v>0</v>
      </c>
      <c r="F15" s="196">
        <v>14117.2432474584</v>
      </c>
      <c r="G15" s="196">
        <v>28460.362386876135</v>
      </c>
      <c r="H15" s="196">
        <v>29734.319358218672</v>
      </c>
      <c r="I15" s="196">
        <v>30633.513835196132</v>
      </c>
      <c r="J15" s="196">
        <v>30756.047890536913</v>
      </c>
      <c r="K15" s="196">
        <v>30786.803938427453</v>
      </c>
      <c r="L15" s="196">
        <v>30786.803938427453</v>
      </c>
      <c r="M15" s="196">
        <v>30786.803938427453</v>
      </c>
      <c r="N15" s="196">
        <v>30786.803938427453</v>
      </c>
      <c r="O15" s="196">
        <v>30786.803938427453</v>
      </c>
      <c r="P15" s="196">
        <v>30786.803938427453</v>
      </c>
      <c r="Q15" s="196">
        <v>30786.803938427453</v>
      </c>
      <c r="R15" s="196">
        <v>30786.803938427453</v>
      </c>
      <c r="S15" s="196">
        <v>30786.803938427453</v>
      </c>
      <c r="T15" s="196">
        <v>30786.803938427453</v>
      </c>
      <c r="U15" s="196">
        <v>30786.803938427453</v>
      </c>
      <c r="V15" s="196">
        <v>30786.803938427453</v>
      </c>
      <c r="W15" s="196">
        <v>30786.803938427453</v>
      </c>
      <c r="X15" s="196">
        <v>30786.803938427453</v>
      </c>
      <c r="Y15" s="196">
        <v>30786.803938427453</v>
      </c>
      <c r="Z15" s="196">
        <v>30786.803938427453</v>
      </c>
      <c r="AA15" s="196">
        <v>30786.803938427453</v>
      </c>
      <c r="AB15" s="196">
        <v>30786.803938427453</v>
      </c>
      <c r="AC15" s="196">
        <v>30786.803938427453</v>
      </c>
      <c r="AD15" s="196">
        <v>30786.803938427453</v>
      </c>
      <c r="AE15" s="196">
        <v>30786.803938427453</v>
      </c>
      <c r="AF15" s="196">
        <v>30786.803938427453</v>
      </c>
      <c r="AG15" s="196">
        <v>30786.803938427453</v>
      </c>
      <c r="AH15" s="196">
        <v>30786.803938427453</v>
      </c>
      <c r="AI15" s="196">
        <v>30786.803938427453</v>
      </c>
      <c r="AJ15" s="46">
        <v>0</v>
      </c>
      <c r="AK15" s="46">
        <v>0</v>
      </c>
      <c r="AL15" s="46">
        <v>0</v>
      </c>
    </row>
    <row r="16" spans="2:38" ht="12.75">
      <c r="B16" s="9"/>
      <c r="C16" s="9"/>
      <c r="D16" s="46"/>
      <c r="E16" s="46"/>
      <c r="F16" s="264"/>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2" t="s">
        <v>231</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0</v>
      </c>
      <c r="AK17" s="45">
        <v>0</v>
      </c>
      <c r="AL17" s="45">
        <v>0</v>
      </c>
    </row>
    <row r="18" spans="3:38" ht="12.75">
      <c r="C18" s="262" t="s">
        <v>229</v>
      </c>
      <c r="D18" s="267">
        <v>0</v>
      </c>
      <c r="E18" s="267">
        <v>0</v>
      </c>
      <c r="F18" s="267">
        <v>1.1452</v>
      </c>
      <c r="G18" s="267">
        <v>1.1452</v>
      </c>
      <c r="H18" s="267">
        <v>1.1452</v>
      </c>
      <c r="I18" s="267">
        <v>1.1452</v>
      </c>
      <c r="J18" s="267">
        <v>1.1452</v>
      </c>
      <c r="K18" s="267">
        <v>1.1452</v>
      </c>
      <c r="L18" s="267">
        <v>1.1452</v>
      </c>
      <c r="M18" s="267">
        <v>1.1452</v>
      </c>
      <c r="N18" s="267">
        <v>1.1452</v>
      </c>
      <c r="O18" s="267">
        <v>1.1452</v>
      </c>
      <c r="P18" s="267">
        <v>1.1452</v>
      </c>
      <c r="Q18" s="267">
        <v>1.1452</v>
      </c>
      <c r="R18" s="267">
        <v>1.1452</v>
      </c>
      <c r="S18" s="267">
        <v>1.1452</v>
      </c>
      <c r="T18" s="267">
        <v>1.1452</v>
      </c>
      <c r="U18" s="267">
        <v>1.1452</v>
      </c>
      <c r="V18" s="267">
        <v>1.1452</v>
      </c>
      <c r="W18" s="267">
        <v>1.1452</v>
      </c>
      <c r="X18" s="267">
        <v>1.1452</v>
      </c>
      <c r="Y18" s="267">
        <v>1.1452</v>
      </c>
      <c r="Z18" s="267">
        <v>1.1452</v>
      </c>
      <c r="AA18" s="267">
        <v>1.1452</v>
      </c>
      <c r="AB18" s="267">
        <v>1.1452</v>
      </c>
      <c r="AC18" s="267">
        <v>1.1452</v>
      </c>
      <c r="AD18" s="267">
        <v>1.1452</v>
      </c>
      <c r="AE18" s="267">
        <v>1.1452</v>
      </c>
      <c r="AF18" s="267">
        <v>1.1452</v>
      </c>
      <c r="AG18" s="267">
        <v>1.1452</v>
      </c>
      <c r="AH18" s="267">
        <v>1.1452</v>
      </c>
      <c r="AI18" s="267">
        <v>1.1452</v>
      </c>
      <c r="AJ18" s="45">
        <v>0</v>
      </c>
      <c r="AK18" s="45">
        <v>0</v>
      </c>
      <c r="AL18" s="45">
        <v>0</v>
      </c>
    </row>
    <row r="19" spans="2:38" ht="12.75">
      <c r="B19" s="369" t="s">
        <v>232</v>
      </c>
      <c r="C19" s="369"/>
      <c r="D19" s="196">
        <v>0</v>
      </c>
      <c r="E19" s="196">
        <v>0</v>
      </c>
      <c r="F19" s="196">
        <v>1717.8</v>
      </c>
      <c r="G19" s="196">
        <v>1717.8</v>
      </c>
      <c r="H19" s="196">
        <v>1717.8</v>
      </c>
      <c r="I19" s="196">
        <v>1717.8</v>
      </c>
      <c r="J19" s="196">
        <v>1717.8</v>
      </c>
      <c r="K19" s="196">
        <v>1717.8</v>
      </c>
      <c r="L19" s="196">
        <v>1717.8</v>
      </c>
      <c r="M19" s="196">
        <v>1717.8</v>
      </c>
      <c r="N19" s="196">
        <v>1717.8</v>
      </c>
      <c r="O19" s="196">
        <v>1717.8</v>
      </c>
      <c r="P19" s="196">
        <v>1717.8</v>
      </c>
      <c r="Q19" s="196">
        <v>1717.8</v>
      </c>
      <c r="R19" s="196">
        <v>1717.8</v>
      </c>
      <c r="S19" s="196">
        <v>1717.8</v>
      </c>
      <c r="T19" s="196">
        <v>1717.8</v>
      </c>
      <c r="U19" s="196">
        <v>1717.8</v>
      </c>
      <c r="V19" s="196">
        <v>1717.8</v>
      </c>
      <c r="W19" s="196">
        <v>1717.8</v>
      </c>
      <c r="X19" s="196">
        <v>1717.8</v>
      </c>
      <c r="Y19" s="196">
        <v>1717.8</v>
      </c>
      <c r="Z19" s="196">
        <v>1717.8</v>
      </c>
      <c r="AA19" s="196">
        <v>1717.8</v>
      </c>
      <c r="AB19" s="196">
        <v>1717.8</v>
      </c>
      <c r="AC19" s="196">
        <v>1717.8</v>
      </c>
      <c r="AD19" s="196">
        <v>1717.8</v>
      </c>
      <c r="AE19" s="196">
        <v>1717.8</v>
      </c>
      <c r="AF19" s="196">
        <v>1717.8</v>
      </c>
      <c r="AG19" s="196">
        <v>1717.8</v>
      </c>
      <c r="AH19" s="196">
        <v>1717.8</v>
      </c>
      <c r="AI19" s="196">
        <v>1717.8</v>
      </c>
      <c r="AJ19" s="46">
        <v>0</v>
      </c>
      <c r="AK19" s="46">
        <v>0</v>
      </c>
      <c r="AL19" s="46">
        <v>0</v>
      </c>
    </row>
    <row r="20" spans="2:38" ht="12.75">
      <c r="B20" s="9"/>
      <c r="C20" s="9"/>
      <c r="D20" s="46"/>
      <c r="E20" s="46"/>
      <c r="F20" s="26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45">
        <v>0</v>
      </c>
      <c r="AK22" s="45">
        <v>0</v>
      </c>
      <c r="AL22" s="45">
        <v>0</v>
      </c>
    </row>
    <row r="23" spans="2:38" ht="12.75">
      <c r="B23" s="369" t="s">
        <v>27</v>
      </c>
      <c r="C23" s="369"/>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4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45">
        <v>0</v>
      </c>
      <c r="AK26" s="45">
        <v>0</v>
      </c>
      <c r="AL26" s="45">
        <v>0</v>
      </c>
    </row>
    <row r="27" spans="2:38" ht="12.75">
      <c r="B27" s="369" t="s">
        <v>27</v>
      </c>
      <c r="C27" s="369"/>
      <c r="D27" s="196">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c r="V27" s="196">
        <v>0</v>
      </c>
      <c r="W27" s="196">
        <v>0</v>
      </c>
      <c r="X27" s="196">
        <v>0</v>
      </c>
      <c r="Y27" s="196">
        <v>0</v>
      </c>
      <c r="Z27" s="196">
        <v>0</v>
      </c>
      <c r="AA27" s="196">
        <v>0</v>
      </c>
      <c r="AB27" s="196">
        <v>0</v>
      </c>
      <c r="AC27" s="196">
        <v>0</v>
      </c>
      <c r="AD27" s="196">
        <v>0</v>
      </c>
      <c r="AE27" s="196">
        <v>0</v>
      </c>
      <c r="AF27" s="196">
        <v>0</v>
      </c>
      <c r="AG27" s="196">
        <v>0</v>
      </c>
      <c r="AH27" s="196">
        <v>0</v>
      </c>
      <c r="AI27" s="196">
        <v>0</v>
      </c>
      <c r="AJ27" s="4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45">
        <v>0</v>
      </c>
      <c r="AK30" s="45">
        <v>0</v>
      </c>
      <c r="AL30" s="45">
        <v>0</v>
      </c>
    </row>
    <row r="31" spans="2:38" ht="12.75">
      <c r="B31" s="369" t="s">
        <v>27</v>
      </c>
      <c r="C31" s="369"/>
      <c r="D31" s="196">
        <v>0</v>
      </c>
      <c r="E31" s="196">
        <v>0</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c r="AC31" s="196">
        <v>0</v>
      </c>
      <c r="AD31" s="196">
        <v>0</v>
      </c>
      <c r="AE31" s="196">
        <v>0</v>
      </c>
      <c r="AF31" s="196">
        <v>0</v>
      </c>
      <c r="AG31" s="196">
        <v>0</v>
      </c>
      <c r="AH31" s="196">
        <v>0</v>
      </c>
      <c r="AI31" s="196">
        <v>0</v>
      </c>
      <c r="AJ31" s="4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2">
        <v>0</v>
      </c>
      <c r="E34" s="192">
        <v>0</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45">
        <v>0</v>
      </c>
      <c r="AK34" s="45">
        <v>0</v>
      </c>
      <c r="AL34" s="45">
        <v>0</v>
      </c>
    </row>
    <row r="35" spans="2:38" ht="12.75">
      <c r="B35" s="369" t="s">
        <v>27</v>
      </c>
      <c r="C35" s="369"/>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46">
        <v>0</v>
      </c>
      <c r="AK35" s="46">
        <v>0</v>
      </c>
      <c r="AL35" s="46">
        <v>0</v>
      </c>
    </row>
    <row r="36" spans="2:38" ht="12.75">
      <c r="B36" s="9"/>
      <c r="C36" s="9"/>
      <c r="D36" s="19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233</v>
      </c>
      <c r="B37" s="19"/>
      <c r="C37" s="19"/>
      <c r="D37" s="195">
        <v>0</v>
      </c>
      <c r="E37" s="195">
        <v>0</v>
      </c>
      <c r="F37" s="195">
        <v>15835.0432474584</v>
      </c>
      <c r="G37" s="195">
        <v>30178.162386876134</v>
      </c>
      <c r="H37" s="195">
        <v>31452.11935821867</v>
      </c>
      <c r="I37" s="195">
        <v>32351.31383519613</v>
      </c>
      <c r="J37" s="195">
        <v>32473.847890536912</v>
      </c>
      <c r="K37" s="195">
        <v>32504.60393842745</v>
      </c>
      <c r="L37" s="195">
        <v>32504.60393842745</v>
      </c>
      <c r="M37" s="195">
        <v>32504.60393842745</v>
      </c>
      <c r="N37" s="195">
        <v>32504.60393842745</v>
      </c>
      <c r="O37" s="195">
        <v>32504.60393842745</v>
      </c>
      <c r="P37" s="195">
        <v>32504.60393842745</v>
      </c>
      <c r="Q37" s="195">
        <v>32504.60393842745</v>
      </c>
      <c r="R37" s="195">
        <v>32504.60393842745</v>
      </c>
      <c r="S37" s="195">
        <v>32504.60393842745</v>
      </c>
      <c r="T37" s="195">
        <v>32504.60393842745</v>
      </c>
      <c r="U37" s="195">
        <v>32504.60393842745</v>
      </c>
      <c r="V37" s="195">
        <v>32504.60393842745</v>
      </c>
      <c r="W37" s="195">
        <v>32504.60393842745</v>
      </c>
      <c r="X37" s="195">
        <v>32504.60393842745</v>
      </c>
      <c r="Y37" s="195">
        <v>32504.60393842745</v>
      </c>
      <c r="Z37" s="195">
        <v>32504.60393842745</v>
      </c>
      <c r="AA37" s="195">
        <v>32504.60393842745</v>
      </c>
      <c r="AB37" s="195">
        <v>32504.60393842745</v>
      </c>
      <c r="AC37" s="195">
        <v>32504.60393842745</v>
      </c>
      <c r="AD37" s="195">
        <v>32504.60393842745</v>
      </c>
      <c r="AE37" s="195">
        <v>32504.60393842745</v>
      </c>
      <c r="AF37" s="195">
        <v>32504.60393842745</v>
      </c>
      <c r="AG37" s="195">
        <v>32504.60393842745</v>
      </c>
      <c r="AH37" s="195">
        <v>32504.60393842745</v>
      </c>
      <c r="AI37" s="195">
        <v>32504.60393842745</v>
      </c>
      <c r="AJ37" s="270">
        <v>0</v>
      </c>
      <c r="AK37" s="270">
        <v>0</v>
      </c>
      <c r="AL37" s="270">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landscape" paperSize="9" scale="74" r:id="rId3"/>
  <colBreaks count="1" manualBreakCount="1">
    <brk id="19" max="65535" man="1"/>
  </colBreaks>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view="pageBreakPreview" zoomScale="60" zoomScaleNormal="85" zoomScalePageLayoutView="0" workbookViewId="0" topLeftCell="A1">
      <selection activeCell="A8" sqref="A8:AK9"/>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174</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115</v>
      </c>
      <c r="B3" s="70">
        <f aca="true" t="shared" si="1" ref="B3:AJ3">B13-B8</f>
        <v>-66400</v>
      </c>
      <c r="C3" s="70">
        <f t="shared" si="1"/>
        <v>0</v>
      </c>
      <c r="D3" s="70">
        <f t="shared" si="1"/>
        <v>0</v>
      </c>
      <c r="E3" s="70">
        <f t="shared" si="1"/>
        <v>0</v>
      </c>
      <c r="F3" s="70">
        <f t="shared" si="1"/>
        <v>11287.15</v>
      </c>
      <c r="G3" s="70">
        <f t="shared" si="1"/>
        <v>11287.15</v>
      </c>
      <c r="H3" s="70">
        <f t="shared" si="1"/>
        <v>11287.15</v>
      </c>
      <c r="I3" s="70">
        <f t="shared" si="1"/>
        <v>11287.15</v>
      </c>
      <c r="J3" s="70">
        <f t="shared" si="1"/>
        <v>11287.15</v>
      </c>
      <c r="K3" s="70">
        <f t="shared" si="1"/>
        <v>11287.15</v>
      </c>
      <c r="L3" s="70">
        <f t="shared" si="1"/>
        <v>11287.15</v>
      </c>
      <c r="M3" s="70">
        <f t="shared" si="1"/>
        <v>11287.15</v>
      </c>
      <c r="N3" s="70">
        <f t="shared" si="1"/>
        <v>11287.15</v>
      </c>
      <c r="O3" s="70">
        <f t="shared" si="1"/>
        <v>11287.15</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114</v>
      </c>
      <c r="B5" s="148">
        <f>IRR(B3:AJ3,0.05)</f>
        <v>0.0665458749103538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49" t="s">
        <v>116</v>
      </c>
      <c r="B8" s="193">
        <v>66400</v>
      </c>
      <c r="C8" s="193">
        <v>0</v>
      </c>
      <c r="D8" s="193">
        <v>0</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93">
        <v>0</v>
      </c>
      <c r="AA8" s="193">
        <v>0</v>
      </c>
      <c r="AB8" s="193">
        <v>0</v>
      </c>
      <c r="AC8" s="193">
        <v>0</v>
      </c>
      <c r="AD8" s="193">
        <v>0</v>
      </c>
      <c r="AE8" s="193">
        <v>0</v>
      </c>
      <c r="AF8" s="193">
        <v>0</v>
      </c>
      <c r="AG8" s="193">
        <v>0</v>
      </c>
      <c r="AH8" s="193">
        <v>0</v>
      </c>
      <c r="AI8" s="193">
        <v>0</v>
      </c>
      <c r="AJ8" s="193">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118</v>
      </c>
      <c r="B11" s="194">
        <v>0</v>
      </c>
      <c r="C11" s="194">
        <v>0</v>
      </c>
      <c r="D11" s="194">
        <v>0</v>
      </c>
      <c r="E11" s="194">
        <v>0</v>
      </c>
      <c r="F11" s="194">
        <v>6640</v>
      </c>
      <c r="G11" s="194">
        <v>6640</v>
      </c>
      <c r="H11" s="194">
        <v>6640</v>
      </c>
      <c r="I11" s="194">
        <v>6640</v>
      </c>
      <c r="J11" s="194">
        <v>6640</v>
      </c>
      <c r="K11" s="194">
        <v>6640</v>
      </c>
      <c r="L11" s="194">
        <v>6640</v>
      </c>
      <c r="M11" s="194">
        <v>6640</v>
      </c>
      <c r="N11" s="194">
        <v>6640</v>
      </c>
      <c r="O11" s="194">
        <v>6640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0</v>
      </c>
      <c r="AH11" s="194">
        <v>0</v>
      </c>
      <c r="AI11" s="194">
        <v>0</v>
      </c>
      <c r="AJ11" s="194">
        <v>0</v>
      </c>
    </row>
    <row r="12" spans="1:36" ht="12.75">
      <c r="A12" s="7" t="s">
        <v>119</v>
      </c>
      <c r="B12" s="194">
        <v>0</v>
      </c>
      <c r="C12" s="194">
        <v>0</v>
      </c>
      <c r="D12" s="194">
        <v>0</v>
      </c>
      <c r="E12" s="194">
        <v>0</v>
      </c>
      <c r="F12" s="194">
        <v>4647.15</v>
      </c>
      <c r="G12" s="194">
        <v>4647.15</v>
      </c>
      <c r="H12" s="194">
        <v>4647.15</v>
      </c>
      <c r="I12" s="194">
        <v>4647.15</v>
      </c>
      <c r="J12" s="194">
        <v>4647.15</v>
      </c>
      <c r="K12" s="194">
        <v>4647.15</v>
      </c>
      <c r="L12" s="194">
        <v>4647.15</v>
      </c>
      <c r="M12" s="194">
        <v>4647.15</v>
      </c>
      <c r="N12" s="194">
        <v>4647.15</v>
      </c>
      <c r="O12" s="194">
        <v>4647.15</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row>
    <row r="13" spans="1:36" s="8" customFormat="1" ht="12.75">
      <c r="A13" s="7" t="s">
        <v>117</v>
      </c>
      <c r="B13" s="195">
        <f aca="true" t="shared" si="2" ref="B13:AJ13">B11+B12</f>
        <v>0</v>
      </c>
      <c r="C13" s="195">
        <f t="shared" si="2"/>
        <v>0</v>
      </c>
      <c r="D13" s="195">
        <f t="shared" si="2"/>
        <v>0</v>
      </c>
      <c r="E13" s="195">
        <f t="shared" si="2"/>
        <v>0</v>
      </c>
      <c r="F13" s="195">
        <f t="shared" si="2"/>
        <v>11287.15</v>
      </c>
      <c r="G13" s="195">
        <f t="shared" si="2"/>
        <v>11287.15</v>
      </c>
      <c r="H13" s="195">
        <f t="shared" si="2"/>
        <v>11287.15</v>
      </c>
      <c r="I13" s="195">
        <f t="shared" si="2"/>
        <v>11287.15</v>
      </c>
      <c r="J13" s="195">
        <f t="shared" si="2"/>
        <v>11287.15</v>
      </c>
      <c r="K13" s="195">
        <f t="shared" si="2"/>
        <v>11287.15</v>
      </c>
      <c r="L13" s="195">
        <f t="shared" si="2"/>
        <v>11287.15</v>
      </c>
      <c r="M13" s="195">
        <f t="shared" si="2"/>
        <v>11287.15</v>
      </c>
      <c r="N13" s="195">
        <f t="shared" si="2"/>
        <v>11287.15</v>
      </c>
      <c r="O13" s="195">
        <f t="shared" si="2"/>
        <v>11287.15</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2"/>
        <v>0</v>
      </c>
      <c r="Y13" s="195">
        <f t="shared" si="2"/>
        <v>0</v>
      </c>
      <c r="Z13" s="195">
        <f t="shared" si="2"/>
        <v>0</v>
      </c>
      <c r="AA13" s="195">
        <f t="shared" si="2"/>
        <v>0</v>
      </c>
      <c r="AB13" s="195">
        <f t="shared" si="2"/>
        <v>0</v>
      </c>
      <c r="AC13" s="195">
        <f t="shared" si="2"/>
        <v>0</v>
      </c>
      <c r="AD13" s="195">
        <f t="shared" si="2"/>
        <v>0</v>
      </c>
      <c r="AE13" s="195">
        <f t="shared" si="2"/>
        <v>0</v>
      </c>
      <c r="AF13" s="195">
        <f t="shared" si="2"/>
        <v>0</v>
      </c>
      <c r="AG13" s="195">
        <f t="shared" si="2"/>
        <v>0</v>
      </c>
      <c r="AH13" s="195">
        <f t="shared" si="2"/>
        <v>0</v>
      </c>
      <c r="AI13" s="195">
        <f t="shared" si="2"/>
        <v>0</v>
      </c>
      <c r="AJ13" s="195">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landscape" paperSize="9" scale="49" r:id="rId3"/>
  <colBreaks count="1" manualBreakCount="1">
    <brk id="18" max="17" man="1"/>
  </colBreaks>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view="pageBreakPreview" zoomScale="60" zoomScaleNormal="85" zoomScalePageLayoutView="0" workbookViewId="0" topLeftCell="A1">
      <selection activeCell="T27" sqref="T27"/>
    </sheetView>
  </sheetViews>
  <sheetFormatPr defaultColWidth="9.00390625" defaultRowHeight="12.75"/>
  <cols>
    <col min="1" max="1" width="9.125" style="77" customWidth="1"/>
    <col min="2" max="2" width="10.625" style="77" customWidth="1"/>
    <col min="3" max="37" width="10.875" style="77" customWidth="1"/>
    <col min="38" max="16384" width="9.125" style="77" customWidth="1"/>
  </cols>
  <sheetData>
    <row r="1" spans="1:10" ht="21" customHeight="1">
      <c r="A1" s="76" t="s">
        <v>33</v>
      </c>
      <c r="D1" s="84">
        <v>1</v>
      </c>
      <c r="E1" s="85" t="s">
        <v>47</v>
      </c>
      <c r="F1" s="85"/>
      <c r="G1" s="85"/>
      <c r="H1" s="85"/>
      <c r="I1" s="85"/>
      <c r="J1" s="85"/>
    </row>
    <row r="2" ht="12.75"/>
    <row r="3" ht="12.75">
      <c r="A3" s="60" t="s">
        <v>174</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88">
        <v>0</v>
      </c>
      <c r="D8" s="288">
        <v>0</v>
      </c>
      <c r="E8" s="288">
        <v>0</v>
      </c>
      <c r="F8" s="288">
        <v>0</v>
      </c>
      <c r="G8" s="288">
        <v>0</v>
      </c>
      <c r="H8" s="288">
        <v>0</v>
      </c>
      <c r="I8" s="288">
        <v>0</v>
      </c>
      <c r="J8" s="288">
        <v>0</v>
      </c>
      <c r="K8" s="288">
        <v>0</v>
      </c>
      <c r="L8" s="288">
        <v>0</v>
      </c>
      <c r="M8" s="288">
        <v>0</v>
      </c>
      <c r="N8" s="288">
        <v>0</v>
      </c>
      <c r="O8" s="288">
        <v>0</v>
      </c>
      <c r="P8" s="288">
        <v>0</v>
      </c>
      <c r="Q8" s="288">
        <v>0</v>
      </c>
      <c r="R8" s="288">
        <v>0</v>
      </c>
      <c r="S8" s="288">
        <v>0</v>
      </c>
      <c r="T8" s="288">
        <v>0</v>
      </c>
      <c r="U8" s="288">
        <v>0</v>
      </c>
      <c r="V8" s="288">
        <v>0</v>
      </c>
      <c r="W8" s="288">
        <v>0</v>
      </c>
      <c r="X8" s="288">
        <v>0</v>
      </c>
      <c r="Y8" s="288">
        <v>0</v>
      </c>
      <c r="Z8" s="288">
        <v>0</v>
      </c>
      <c r="AA8" s="288">
        <v>0</v>
      </c>
      <c r="AB8" s="288">
        <v>0</v>
      </c>
      <c r="AC8" s="288">
        <v>0</v>
      </c>
      <c r="AD8" s="288">
        <v>0</v>
      </c>
      <c r="AE8" s="288">
        <v>0</v>
      </c>
      <c r="AF8" s="288">
        <v>0</v>
      </c>
      <c r="AG8" s="288">
        <v>0</v>
      </c>
      <c r="AH8" s="288">
        <v>0</v>
      </c>
      <c r="AI8" s="288">
        <v>0</v>
      </c>
      <c r="AJ8" s="288">
        <v>0</v>
      </c>
      <c r="AK8" s="288">
        <v>0</v>
      </c>
    </row>
    <row r="9" spans="1:37" ht="12.75">
      <c r="A9" s="81">
        <v>2</v>
      </c>
      <c r="B9" s="81">
        <v>6</v>
      </c>
      <c r="C9" s="288">
        <v>0</v>
      </c>
      <c r="D9" s="288">
        <v>60500</v>
      </c>
      <c r="E9" s="288">
        <v>0</v>
      </c>
      <c r="F9" s="288">
        <v>0</v>
      </c>
      <c r="G9" s="288">
        <v>0</v>
      </c>
      <c r="H9" s="288">
        <v>0</v>
      </c>
      <c r="I9" s="288">
        <v>0</v>
      </c>
      <c r="J9" s="288">
        <v>0</v>
      </c>
      <c r="K9" s="288">
        <v>0</v>
      </c>
      <c r="L9" s="288">
        <v>0</v>
      </c>
      <c r="M9" s="288">
        <v>0</v>
      </c>
      <c r="N9" s="288">
        <v>0</v>
      </c>
      <c r="O9" s="288">
        <v>0</v>
      </c>
      <c r="P9" s="288">
        <v>0</v>
      </c>
      <c r="Q9" s="288">
        <v>0</v>
      </c>
      <c r="R9" s="288">
        <v>0</v>
      </c>
      <c r="S9" s="288">
        <v>0</v>
      </c>
      <c r="T9" s="288">
        <v>0</v>
      </c>
      <c r="U9" s="288">
        <v>0</v>
      </c>
      <c r="V9" s="288">
        <v>0</v>
      </c>
      <c r="W9" s="288">
        <v>0</v>
      </c>
      <c r="X9" s="288">
        <v>0</v>
      </c>
      <c r="Y9" s="288">
        <v>0</v>
      </c>
      <c r="Z9" s="288">
        <v>0</v>
      </c>
      <c r="AA9" s="288">
        <v>0</v>
      </c>
      <c r="AB9" s="288">
        <v>0</v>
      </c>
      <c r="AC9" s="288">
        <v>0</v>
      </c>
      <c r="AD9" s="288">
        <v>0</v>
      </c>
      <c r="AE9" s="288">
        <v>0</v>
      </c>
      <c r="AF9" s="288">
        <v>0</v>
      </c>
      <c r="AG9" s="288">
        <v>0</v>
      </c>
      <c r="AH9" s="288">
        <v>0</v>
      </c>
      <c r="AI9" s="288">
        <v>0</v>
      </c>
      <c r="AJ9" s="288">
        <v>0</v>
      </c>
      <c r="AK9" s="288">
        <v>0</v>
      </c>
    </row>
    <row r="10" spans="1:37" ht="12.75">
      <c r="A10" s="81">
        <v>3</v>
      </c>
      <c r="B10" s="81">
        <v>12</v>
      </c>
      <c r="C10" s="288">
        <v>0</v>
      </c>
      <c r="D10" s="288">
        <v>949790.88</v>
      </c>
      <c r="E10" s="288">
        <v>0</v>
      </c>
      <c r="F10" s="288">
        <v>0</v>
      </c>
      <c r="G10" s="288">
        <v>0</v>
      </c>
      <c r="H10" s="288">
        <v>0</v>
      </c>
      <c r="I10" s="288">
        <v>0</v>
      </c>
      <c r="J10" s="288">
        <v>0</v>
      </c>
      <c r="K10" s="288">
        <v>0</v>
      </c>
      <c r="L10" s="288">
        <v>0</v>
      </c>
      <c r="M10" s="288">
        <v>0</v>
      </c>
      <c r="N10" s="288">
        <v>0</v>
      </c>
      <c r="O10" s="288">
        <v>0</v>
      </c>
      <c r="P10" s="288">
        <v>0</v>
      </c>
      <c r="Q10" s="288">
        <v>0</v>
      </c>
      <c r="R10" s="288">
        <v>49790.88</v>
      </c>
      <c r="S10" s="288">
        <v>0</v>
      </c>
      <c r="T10" s="288">
        <v>0</v>
      </c>
      <c r="U10" s="288">
        <v>0</v>
      </c>
      <c r="V10" s="288">
        <v>0</v>
      </c>
      <c r="W10" s="288">
        <v>0</v>
      </c>
      <c r="X10" s="288">
        <v>0</v>
      </c>
      <c r="Y10" s="288">
        <v>0</v>
      </c>
      <c r="Z10" s="288">
        <v>0</v>
      </c>
      <c r="AA10" s="288">
        <v>0</v>
      </c>
      <c r="AB10" s="288">
        <v>0</v>
      </c>
      <c r="AC10" s="288">
        <v>0</v>
      </c>
      <c r="AD10" s="288">
        <v>0</v>
      </c>
      <c r="AE10" s="288">
        <v>0</v>
      </c>
      <c r="AF10" s="288">
        <v>0</v>
      </c>
      <c r="AG10" s="288">
        <v>0</v>
      </c>
      <c r="AH10" s="288">
        <v>0</v>
      </c>
      <c r="AI10" s="288">
        <v>0</v>
      </c>
      <c r="AJ10" s="288">
        <v>0</v>
      </c>
      <c r="AK10" s="288">
        <v>0</v>
      </c>
    </row>
    <row r="11" spans="1:37" ht="12.75">
      <c r="A11" s="81">
        <v>4</v>
      </c>
      <c r="B11" s="81">
        <v>20</v>
      </c>
      <c r="C11" s="288">
        <v>0</v>
      </c>
      <c r="D11" s="288">
        <v>514505.74</v>
      </c>
      <c r="E11" s="288">
        <v>148708.76</v>
      </c>
      <c r="F11" s="288">
        <v>0</v>
      </c>
      <c r="G11" s="288">
        <v>0</v>
      </c>
      <c r="H11" s="288">
        <v>0</v>
      </c>
      <c r="I11" s="288">
        <v>0</v>
      </c>
      <c r="J11" s="288">
        <v>0</v>
      </c>
      <c r="K11" s="288">
        <v>0</v>
      </c>
      <c r="L11" s="288">
        <v>0</v>
      </c>
      <c r="M11" s="288">
        <v>0</v>
      </c>
      <c r="N11" s="288">
        <v>0</v>
      </c>
      <c r="O11" s="288">
        <v>0</v>
      </c>
      <c r="P11" s="288">
        <v>0</v>
      </c>
      <c r="Q11" s="288">
        <v>0</v>
      </c>
      <c r="R11" s="288">
        <v>0</v>
      </c>
      <c r="S11" s="288">
        <v>0</v>
      </c>
      <c r="T11" s="288">
        <v>0</v>
      </c>
      <c r="U11" s="288">
        <v>0</v>
      </c>
      <c r="V11" s="288">
        <v>0</v>
      </c>
      <c r="W11" s="288">
        <v>0</v>
      </c>
      <c r="X11" s="288">
        <v>0</v>
      </c>
      <c r="Y11" s="288">
        <v>0</v>
      </c>
      <c r="Z11" s="288">
        <v>0</v>
      </c>
      <c r="AA11" s="288">
        <v>0</v>
      </c>
      <c r="AB11" s="288">
        <v>0</v>
      </c>
      <c r="AC11" s="288">
        <v>0</v>
      </c>
      <c r="AD11" s="288">
        <v>0</v>
      </c>
      <c r="AE11" s="288">
        <v>0</v>
      </c>
      <c r="AF11" s="288">
        <v>0</v>
      </c>
      <c r="AG11" s="288">
        <v>0</v>
      </c>
      <c r="AH11" s="288">
        <v>0</v>
      </c>
      <c r="AI11" s="288">
        <v>0</v>
      </c>
      <c r="AJ11" s="288">
        <v>0</v>
      </c>
      <c r="AK11" s="288">
        <v>0</v>
      </c>
    </row>
    <row r="12" spans="1:37" s="82" customFormat="1" ht="12.75">
      <c r="A12" s="370" t="s">
        <v>35</v>
      </c>
      <c r="B12" s="370"/>
      <c r="C12" s="289">
        <f>SUM(C8:C11)</f>
        <v>0</v>
      </c>
      <c r="D12" s="289">
        <f aca="true" t="shared" si="1" ref="D12:AK12">SUM(D8:D11)</f>
        <v>1524796.62</v>
      </c>
      <c r="E12" s="289">
        <f t="shared" si="1"/>
        <v>148708.76</v>
      </c>
      <c r="F12" s="289">
        <f t="shared" si="1"/>
        <v>0</v>
      </c>
      <c r="G12" s="289">
        <f t="shared" si="1"/>
        <v>0</v>
      </c>
      <c r="H12" s="289">
        <f t="shared" si="1"/>
        <v>0</v>
      </c>
      <c r="I12" s="289">
        <f t="shared" si="1"/>
        <v>0</v>
      </c>
      <c r="J12" s="289">
        <f t="shared" si="1"/>
        <v>0</v>
      </c>
      <c r="K12" s="289">
        <f t="shared" si="1"/>
        <v>0</v>
      </c>
      <c r="L12" s="289">
        <f t="shared" si="1"/>
        <v>0</v>
      </c>
      <c r="M12" s="289">
        <f t="shared" si="1"/>
        <v>0</v>
      </c>
      <c r="N12" s="289">
        <f t="shared" si="1"/>
        <v>0</v>
      </c>
      <c r="O12" s="289">
        <f t="shared" si="1"/>
        <v>0</v>
      </c>
      <c r="P12" s="289">
        <f t="shared" si="1"/>
        <v>0</v>
      </c>
      <c r="Q12" s="289">
        <f t="shared" si="1"/>
        <v>0</v>
      </c>
      <c r="R12" s="289">
        <f t="shared" si="1"/>
        <v>49790.88</v>
      </c>
      <c r="S12" s="289">
        <f t="shared" si="1"/>
        <v>0</v>
      </c>
      <c r="T12" s="289">
        <f t="shared" si="1"/>
        <v>0</v>
      </c>
      <c r="U12" s="289">
        <f t="shared" si="1"/>
        <v>0</v>
      </c>
      <c r="V12" s="289">
        <f t="shared" si="1"/>
        <v>0</v>
      </c>
      <c r="W12" s="289">
        <f t="shared" si="1"/>
        <v>0</v>
      </c>
      <c r="X12" s="289">
        <f t="shared" si="1"/>
        <v>0</v>
      </c>
      <c r="Y12" s="289">
        <f t="shared" si="1"/>
        <v>0</v>
      </c>
      <c r="Z12" s="289">
        <f t="shared" si="1"/>
        <v>0</v>
      </c>
      <c r="AA12" s="289">
        <f t="shared" si="1"/>
        <v>0</v>
      </c>
      <c r="AB12" s="289">
        <f t="shared" si="1"/>
        <v>0</v>
      </c>
      <c r="AC12" s="289">
        <f t="shared" si="1"/>
        <v>0</v>
      </c>
      <c r="AD12" s="289">
        <f t="shared" si="1"/>
        <v>0</v>
      </c>
      <c r="AE12" s="289">
        <f t="shared" si="1"/>
        <v>0</v>
      </c>
      <c r="AF12" s="289">
        <f t="shared" si="1"/>
        <v>0</v>
      </c>
      <c r="AG12" s="289">
        <f t="shared" si="1"/>
        <v>0</v>
      </c>
      <c r="AH12" s="289">
        <f t="shared" si="1"/>
        <v>0</v>
      </c>
      <c r="AI12" s="289">
        <f t="shared" si="1"/>
        <v>0</v>
      </c>
      <c r="AJ12" s="289">
        <f t="shared" si="1"/>
        <v>0</v>
      </c>
      <c r="AK12" s="289">
        <f t="shared" si="1"/>
        <v>0</v>
      </c>
    </row>
    <row r="13" spans="3:37" ht="12.75">
      <c r="C13" s="83"/>
      <c r="D13" s="83"/>
      <c r="E13" s="83"/>
      <c r="F13" s="83"/>
      <c r="G13" s="83"/>
      <c r="H13" s="83"/>
      <c r="I13" s="83"/>
      <c r="J13" s="83"/>
      <c r="K13" s="83"/>
      <c r="L13" s="83"/>
      <c r="M13" s="83"/>
      <c r="N13" s="83"/>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row>
    <row r="14" spans="3:37" ht="12.75">
      <c r="C14" s="83"/>
      <c r="D14" s="83"/>
      <c r="E14" s="83"/>
      <c r="F14" s="83"/>
      <c r="G14" s="83"/>
      <c r="H14" s="83"/>
      <c r="I14" s="83"/>
      <c r="J14" s="83"/>
      <c r="K14" s="83"/>
      <c r="L14" s="83"/>
      <c r="M14" s="83"/>
      <c r="N14" s="83"/>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row>
    <row r="15" spans="1:37" ht="12.75">
      <c r="A15" s="78" t="s">
        <v>48</v>
      </c>
      <c r="C15" s="83"/>
      <c r="D15" s="83"/>
      <c r="E15" s="83"/>
      <c r="F15" s="83"/>
      <c r="G15" s="83"/>
      <c r="H15" s="83"/>
      <c r="I15" s="83"/>
      <c r="J15" s="83"/>
      <c r="K15" s="83"/>
      <c r="L15" s="83"/>
      <c r="M15" s="83"/>
      <c r="N15" s="83"/>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row>
    <row r="16" spans="1:37" s="80" customFormat="1" ht="25.5">
      <c r="A16" s="79" t="s">
        <v>31</v>
      </c>
      <c r="B16" s="79" t="s">
        <v>32</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10083.333333333334</v>
      </c>
      <c r="E18" s="83">
        <f>IF($D$1=2,'POM_Odpisy zrychlene'!F10,'POM_Odpisy linearne'!F17)</f>
        <v>10083.333333333334</v>
      </c>
      <c r="F18" s="83">
        <f>IF($D$1=2,'POM_Odpisy zrychlene'!G10,'POM_Odpisy linearne'!G17)</f>
        <v>10083.333333333334</v>
      </c>
      <c r="G18" s="83">
        <f>IF($D$1=2,'POM_Odpisy zrychlene'!H10,'POM_Odpisy linearne'!H17)</f>
        <v>10083.333333333334</v>
      </c>
      <c r="H18" s="83">
        <f>IF($D$1=2,'POM_Odpisy zrychlene'!I10,'POM_Odpisy linearne'!I17)</f>
        <v>10083.333333333334</v>
      </c>
      <c r="I18" s="83">
        <f>IF($D$1=2,'POM_Odpisy zrychlene'!J10,'POM_Odpisy linearne'!J17)</f>
        <v>10083.333333333334</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79149.24</v>
      </c>
      <c r="E19" s="83">
        <f>IF($D$1=2,'POM_Odpisy zrychlene'!F11,'POM_Odpisy linearne'!F18)</f>
        <v>79149.24</v>
      </c>
      <c r="F19" s="83">
        <f>IF($D$1=2,'POM_Odpisy zrychlene'!G11,'POM_Odpisy linearne'!G18)</f>
        <v>79149.24</v>
      </c>
      <c r="G19" s="83">
        <f>IF($D$1=2,'POM_Odpisy zrychlene'!H11,'POM_Odpisy linearne'!H18)</f>
        <v>79149.24</v>
      </c>
      <c r="H19" s="83">
        <f>IF($D$1=2,'POM_Odpisy zrychlene'!I11,'POM_Odpisy linearne'!I18)</f>
        <v>79149.24</v>
      </c>
      <c r="I19" s="83">
        <f>IF($D$1=2,'POM_Odpisy zrychlene'!J11,'POM_Odpisy linearne'!J18)</f>
        <v>79149.24</v>
      </c>
      <c r="J19" s="83">
        <f>IF($D$1=2,'POM_Odpisy zrychlene'!K11,'POM_Odpisy linearne'!K18)</f>
        <v>79149.24</v>
      </c>
      <c r="K19" s="83">
        <f>IF($D$1=2,'POM_Odpisy zrychlene'!L11,'POM_Odpisy linearne'!L18)</f>
        <v>79149.24</v>
      </c>
      <c r="L19" s="83">
        <f>IF($D$1=2,'POM_Odpisy zrychlene'!M11,'POM_Odpisy linearne'!M18)</f>
        <v>79149.24</v>
      </c>
      <c r="M19" s="83">
        <f>IF($D$1=2,'POM_Odpisy zrychlene'!N11,'POM_Odpisy linearne'!N18)</f>
        <v>79149.24</v>
      </c>
      <c r="N19" s="83">
        <f>IF($D$1=2,'POM_Odpisy zrychlene'!O11,'POM_Odpisy linearne'!O18)</f>
        <v>79149.24</v>
      </c>
      <c r="O19" s="83">
        <f>IF($D$1=2,'POM_Odpisy zrychlene'!P11,'POM_Odpisy linearne'!P18)</f>
        <v>79149.24</v>
      </c>
      <c r="P19" s="83">
        <f>IF($D$1=2,'POM_Odpisy zrychlene'!Q11,'POM_Odpisy linearne'!Q18)</f>
        <v>0</v>
      </c>
      <c r="Q19" s="83">
        <f>IF($D$1=2,'POM_Odpisy zrychlene'!R11,'POM_Odpisy linearne'!R18)</f>
        <v>0</v>
      </c>
      <c r="R19" s="83">
        <f>IF($D$1=2,'POM_Odpisy zrychlene'!S11,'POM_Odpisy linearne'!S18)</f>
        <v>4149.24</v>
      </c>
      <c r="S19" s="83">
        <f>IF($D$1=2,'POM_Odpisy zrychlene'!T11,'POM_Odpisy linearne'!T18)</f>
        <v>4149.24</v>
      </c>
      <c r="T19" s="83">
        <f>IF($D$1=2,'POM_Odpisy zrychlene'!U11,'POM_Odpisy linearne'!U18)</f>
        <v>4149.24</v>
      </c>
      <c r="U19" s="83">
        <f>IF($D$1=2,'POM_Odpisy zrychlene'!V11,'POM_Odpisy linearne'!V18)</f>
        <v>4149.24</v>
      </c>
      <c r="V19" s="83">
        <f>IF($D$1=2,'POM_Odpisy zrychlene'!W11,'POM_Odpisy linearne'!W18)</f>
        <v>4149.24</v>
      </c>
      <c r="W19" s="83">
        <f>IF($D$1=2,'POM_Odpisy zrychlene'!X11,'POM_Odpisy linearne'!X18)</f>
        <v>4149.24</v>
      </c>
      <c r="X19" s="83">
        <f>IF($D$1=2,'POM_Odpisy zrychlene'!Y11,'POM_Odpisy linearne'!Y18)</f>
        <v>4149.24</v>
      </c>
      <c r="Y19" s="83">
        <f>IF($D$1=2,'POM_Odpisy zrychlene'!Z11,'POM_Odpisy linearne'!Z18)</f>
        <v>4149.24</v>
      </c>
      <c r="Z19" s="83">
        <f>IF($D$1=2,'POM_Odpisy zrychlene'!AA11,'POM_Odpisy linearne'!AA18)</f>
        <v>4149.24</v>
      </c>
      <c r="AA19" s="83">
        <f>IF($D$1=2,'POM_Odpisy zrychlene'!AB11,'POM_Odpisy linearne'!AB18)</f>
        <v>4149.24</v>
      </c>
      <c r="AB19" s="83">
        <f>IF($D$1=2,'POM_Odpisy zrychlene'!AC11,'POM_Odpisy linearne'!AC18)</f>
        <v>4149.24</v>
      </c>
      <c r="AC19" s="83">
        <f>IF($D$1=2,'POM_Odpisy zrychlene'!AD11,'POM_Odpisy linearne'!AD18)</f>
        <v>4149.24</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25725.287</v>
      </c>
      <c r="E20" s="83">
        <f>IF($D$1=2,'POM_Odpisy zrychlene'!F12,'POM_Odpisy linearne'!F19)</f>
        <v>33160.725</v>
      </c>
      <c r="F20" s="83">
        <f>IF($D$1=2,'POM_Odpisy zrychlene'!G12,'POM_Odpisy linearne'!G19)</f>
        <v>33160.725</v>
      </c>
      <c r="G20" s="83">
        <f>IF($D$1=2,'POM_Odpisy zrychlene'!H12,'POM_Odpisy linearne'!H19)</f>
        <v>33160.725</v>
      </c>
      <c r="H20" s="83">
        <f>IF($D$1=2,'POM_Odpisy zrychlene'!I12,'POM_Odpisy linearne'!I19)</f>
        <v>33160.725</v>
      </c>
      <c r="I20" s="83">
        <f>IF($D$1=2,'POM_Odpisy zrychlene'!J12,'POM_Odpisy linearne'!J19)</f>
        <v>33160.725</v>
      </c>
      <c r="J20" s="83">
        <f>IF($D$1=2,'POM_Odpisy zrychlene'!K12,'POM_Odpisy linearne'!K19)</f>
        <v>33160.725</v>
      </c>
      <c r="K20" s="83">
        <f>IF($D$1=2,'POM_Odpisy zrychlene'!L12,'POM_Odpisy linearne'!L19)</f>
        <v>33160.725</v>
      </c>
      <c r="L20" s="83">
        <f>IF($D$1=2,'POM_Odpisy zrychlene'!M12,'POM_Odpisy linearne'!M19)</f>
        <v>33160.725</v>
      </c>
      <c r="M20" s="83">
        <f>IF($D$1=2,'POM_Odpisy zrychlene'!N12,'POM_Odpisy linearne'!N19)</f>
        <v>33160.725</v>
      </c>
      <c r="N20" s="83">
        <f>IF($D$1=2,'POM_Odpisy zrychlene'!O12,'POM_Odpisy linearne'!O19)</f>
        <v>33160.725</v>
      </c>
      <c r="O20" s="83">
        <f>IF($D$1=2,'POM_Odpisy zrychlene'!P12,'POM_Odpisy linearne'!P19)</f>
        <v>33160.725</v>
      </c>
      <c r="P20" s="83">
        <f>IF($D$1=2,'POM_Odpisy zrychlene'!Q12,'POM_Odpisy linearne'!Q19)</f>
        <v>33160.725</v>
      </c>
      <c r="Q20" s="83">
        <f>IF($D$1=2,'POM_Odpisy zrychlene'!R12,'POM_Odpisy linearne'!R19)</f>
        <v>33160.725</v>
      </c>
      <c r="R20" s="83">
        <f>IF($D$1=2,'POM_Odpisy zrychlene'!S12,'POM_Odpisy linearne'!S19)</f>
        <v>33160.725</v>
      </c>
      <c r="S20" s="83">
        <f>IF($D$1=2,'POM_Odpisy zrychlene'!T12,'POM_Odpisy linearne'!T19)</f>
        <v>33160.725</v>
      </c>
      <c r="T20" s="83">
        <f>IF($D$1=2,'POM_Odpisy zrychlene'!U12,'POM_Odpisy linearne'!U19)</f>
        <v>33160.725</v>
      </c>
      <c r="U20" s="83">
        <f>IF($D$1=2,'POM_Odpisy zrychlene'!V12,'POM_Odpisy linearne'!V19)</f>
        <v>33160.725</v>
      </c>
      <c r="V20" s="83">
        <f>IF($D$1=2,'POM_Odpisy zrychlene'!W12,'POM_Odpisy linearne'!W19)</f>
        <v>33160.725</v>
      </c>
      <c r="W20" s="83">
        <f>IF($D$1=2,'POM_Odpisy zrychlene'!X12,'POM_Odpisy linearne'!X19)</f>
        <v>33160.725</v>
      </c>
      <c r="X20" s="83">
        <f>IF($D$1=2,'POM_Odpisy zrychlene'!Y12,'POM_Odpisy linearne'!Y19)</f>
        <v>7435.438</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71" t="s">
        <v>35</v>
      </c>
      <c r="B21" s="371"/>
      <c r="C21" s="291">
        <f aca="true" t="shared" si="2" ref="C21:AK21">SUM(C17:C20)</f>
        <v>0</v>
      </c>
      <c r="D21" s="291">
        <f t="shared" si="2"/>
        <v>114957.86033333333</v>
      </c>
      <c r="E21" s="291">
        <f t="shared" si="2"/>
        <v>122393.29833333334</v>
      </c>
      <c r="F21" s="291">
        <f t="shared" si="2"/>
        <v>122393.29833333334</v>
      </c>
      <c r="G21" s="291">
        <f t="shared" si="2"/>
        <v>122393.29833333334</v>
      </c>
      <c r="H21" s="291">
        <f t="shared" si="2"/>
        <v>122393.29833333334</v>
      </c>
      <c r="I21" s="291">
        <f t="shared" si="2"/>
        <v>122393.29833333334</v>
      </c>
      <c r="J21" s="291">
        <f t="shared" si="2"/>
        <v>112309.965</v>
      </c>
      <c r="K21" s="291">
        <f t="shared" si="2"/>
        <v>112309.965</v>
      </c>
      <c r="L21" s="291">
        <f t="shared" si="2"/>
        <v>112309.965</v>
      </c>
      <c r="M21" s="291">
        <f t="shared" si="2"/>
        <v>112309.965</v>
      </c>
      <c r="N21" s="291">
        <f t="shared" si="2"/>
        <v>112309.965</v>
      </c>
      <c r="O21" s="291">
        <f t="shared" si="2"/>
        <v>112309.965</v>
      </c>
      <c r="P21" s="291">
        <f t="shared" si="2"/>
        <v>33160.725</v>
      </c>
      <c r="Q21" s="291">
        <f t="shared" si="2"/>
        <v>33160.725</v>
      </c>
      <c r="R21" s="291">
        <f t="shared" si="2"/>
        <v>37309.965</v>
      </c>
      <c r="S21" s="291">
        <f t="shared" si="2"/>
        <v>37309.965</v>
      </c>
      <c r="T21" s="291">
        <f t="shared" si="2"/>
        <v>37309.965</v>
      </c>
      <c r="U21" s="291">
        <f t="shared" si="2"/>
        <v>37309.965</v>
      </c>
      <c r="V21" s="291">
        <f t="shared" si="2"/>
        <v>37309.965</v>
      </c>
      <c r="W21" s="291">
        <f t="shared" si="2"/>
        <v>37309.965</v>
      </c>
      <c r="X21" s="291">
        <f t="shared" si="2"/>
        <v>11584.678</v>
      </c>
      <c r="Y21" s="291">
        <f t="shared" si="2"/>
        <v>4149.24</v>
      </c>
      <c r="Z21" s="291">
        <f t="shared" si="2"/>
        <v>4149.24</v>
      </c>
      <c r="AA21" s="291">
        <f t="shared" si="2"/>
        <v>4149.24</v>
      </c>
      <c r="AB21" s="291">
        <f t="shared" si="2"/>
        <v>4149.24</v>
      </c>
      <c r="AC21" s="291">
        <f t="shared" si="2"/>
        <v>4149.24</v>
      </c>
      <c r="AD21" s="291">
        <f t="shared" si="2"/>
        <v>0</v>
      </c>
      <c r="AE21" s="291">
        <f t="shared" si="2"/>
        <v>0</v>
      </c>
      <c r="AF21" s="291">
        <f t="shared" si="2"/>
        <v>0</v>
      </c>
      <c r="AG21" s="291">
        <f t="shared" si="2"/>
        <v>0</v>
      </c>
      <c r="AH21" s="291">
        <f t="shared" si="2"/>
        <v>0</v>
      </c>
      <c r="AI21" s="291">
        <f t="shared" si="2"/>
        <v>0</v>
      </c>
      <c r="AJ21" s="291">
        <f t="shared" si="2"/>
        <v>0</v>
      </c>
      <c r="AK21" s="291">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landscape" paperSize="9" scale="65" r:id="rId3"/>
  <colBreaks count="1" manualBreakCount="1">
    <brk id="1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Kučmáš Pavol</cp:lastModifiedBy>
  <cp:lastPrinted>2011-10-27T13:02:59Z</cp:lastPrinted>
  <dcterms:created xsi:type="dcterms:W3CDTF">1997-01-24T11:07:25Z</dcterms:created>
  <dcterms:modified xsi:type="dcterms:W3CDTF">2011-10-27T13:03:00Z</dcterms:modified>
  <cp:category/>
  <cp:version/>
  <cp:contentType/>
  <cp:contentStatus/>
</cp:coreProperties>
</file>