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7935" activeTab="1"/>
  </bookViews>
  <sheets>
    <sheet name="Input - Existing Situation" sheetId="1" r:id="rId1"/>
    <sheet name="Input - Projection Parameters" sheetId="2" r:id="rId2"/>
    <sheet name="Calculations" sheetId="3" state="hidden" r:id="rId3"/>
    <sheet name="Output - Consumption Projection" sheetId="4" r:id="rId4"/>
  </sheets>
  <definedNames/>
  <calcPr fullCalcOnLoad="1"/>
</workbook>
</file>

<file path=xl/sharedStrings.xml><?xml version="1.0" encoding="utf-8"?>
<sst xmlns="http://schemas.openxmlformats.org/spreadsheetml/2006/main" count="261" uniqueCount="113">
  <si>
    <t>Domestic</t>
  </si>
  <si>
    <t>Total</t>
  </si>
  <si>
    <t>Apartment - Separate Hot Water</t>
  </si>
  <si>
    <t>House - Urban</t>
  </si>
  <si>
    <t>House - Rural</t>
  </si>
  <si>
    <t>Metered</t>
  </si>
  <si>
    <t>Shared Yard Connection</t>
  </si>
  <si>
    <t>Standpipe</t>
  </si>
  <si>
    <t>Unmetered</t>
  </si>
  <si>
    <t>Industrial</t>
  </si>
  <si>
    <t>Commercial</t>
  </si>
  <si>
    <t>Institutional</t>
  </si>
  <si>
    <t>Water Supply</t>
  </si>
  <si>
    <t>Wastewater</t>
  </si>
  <si>
    <t>Coverage / Population Served</t>
  </si>
  <si>
    <t>Water Consumption Characteristics -  Million m3 per annum</t>
  </si>
  <si>
    <t>Wastewater Discharge Characteristics - Million m3 per annum</t>
  </si>
  <si>
    <t>Domestic Consumption</t>
  </si>
  <si>
    <t xml:space="preserve">Basis of Projections </t>
  </si>
  <si>
    <t>Establishing Initial Consumption Levels</t>
  </si>
  <si>
    <t>Base Consumption Levels to be Applied in l/c/d</t>
  </si>
  <si>
    <t xml:space="preserve">Apartment </t>
  </si>
  <si>
    <t>Reference Year / Last Year of Available Data</t>
  </si>
  <si>
    <t>% per annum</t>
  </si>
  <si>
    <t>Projected Connection Rate</t>
  </si>
  <si>
    <t xml:space="preserve">Water </t>
  </si>
  <si>
    <t>Existing</t>
  </si>
  <si>
    <t>% of population</t>
  </si>
  <si>
    <t>TOTAL POPULATION IN SUPPLY AREA</t>
  </si>
  <si>
    <t>Sub Total</t>
  </si>
  <si>
    <t>Economic Factors</t>
  </si>
  <si>
    <t>Population Growth</t>
  </si>
  <si>
    <t>Growth in Household Income</t>
  </si>
  <si>
    <t>Growth in Economic Activity</t>
  </si>
  <si>
    <t>Assumed Change in Tariffs</t>
  </si>
  <si>
    <t>Projected Type of Connection to Water Supply</t>
  </si>
  <si>
    <t>Apartment</t>
  </si>
  <si>
    <t>Elasticity Factors</t>
  </si>
  <si>
    <t>Price</t>
  </si>
  <si>
    <t>Income</t>
  </si>
  <si>
    <t>Population</t>
  </si>
  <si>
    <t>Population Connected to Water Supply</t>
  </si>
  <si>
    <t>Non Metered</t>
  </si>
  <si>
    <t>Average</t>
  </si>
  <si>
    <t>Consumption Levels : l/c/d</t>
  </si>
  <si>
    <t>Consumption Levels : million m3 per annum</t>
  </si>
  <si>
    <t>Total Metered</t>
  </si>
  <si>
    <t>Total Not Metered</t>
  </si>
  <si>
    <t>Not Metered</t>
  </si>
  <si>
    <t>CALCULATION OF DOMESTIC CONSUMPTION</t>
  </si>
  <si>
    <t>Water Consumption Projections - Central Forecast</t>
  </si>
  <si>
    <t>Industrial / Commercial</t>
  </si>
  <si>
    <t>Institutional / Budgetary Consumption</t>
  </si>
  <si>
    <t>Existing Consumption Levels</t>
  </si>
  <si>
    <t>l/c/d</t>
  </si>
  <si>
    <t>Million m3 per annum</t>
  </si>
  <si>
    <t>l/c/d- population served</t>
  </si>
  <si>
    <t>Water Production Projections - Central Forecast</t>
  </si>
  <si>
    <t>Consumption</t>
  </si>
  <si>
    <t>Water Production Characteristics -  Million m3 per annum</t>
  </si>
  <si>
    <t>Water Production</t>
  </si>
  <si>
    <t xml:space="preserve">Water Production Levels </t>
  </si>
  <si>
    <t>Existing Level of Unaccounted for Water</t>
  </si>
  <si>
    <t>% of Water Production</t>
  </si>
  <si>
    <t>Project Future Levels of Unaccounted for Water Using</t>
  </si>
  <si>
    <t>Production</t>
  </si>
  <si>
    <t xml:space="preserve">Contribution Factors </t>
  </si>
  <si>
    <t>% of municipal water supply received</t>
  </si>
  <si>
    <t xml:space="preserve"> </t>
  </si>
  <si>
    <t>Volume of Wastewater Discharged - Not Supplied Through the Municipal Cold Water Supply System</t>
  </si>
  <si>
    <t>Wastewater Discharge Characteristics Own Sources - Million m3 per annum</t>
  </si>
  <si>
    <t xml:space="preserve">Institutional </t>
  </si>
  <si>
    <t>m3/ day</t>
  </si>
  <si>
    <t>Calculation of Wastewater Connections - Domestic</t>
  </si>
  <si>
    <t>Water</t>
  </si>
  <si>
    <t>From Municipal Water Supply</t>
  </si>
  <si>
    <t>From Other Water Sources</t>
  </si>
  <si>
    <t>Equivalent m3/ day</t>
  </si>
  <si>
    <t>Wastewater Discharge to Sewer Projections - Central Forecast</t>
  </si>
  <si>
    <t>Discharged to Sewers</t>
  </si>
  <si>
    <t xml:space="preserve">Infiltration </t>
  </si>
  <si>
    <t>Dry Weather Flow</t>
  </si>
  <si>
    <t>Determining Wastewater Treatment Flows</t>
  </si>
  <si>
    <t>Net Infiltration</t>
  </si>
  <si>
    <t>% of wastewater discharged to sewer</t>
  </si>
  <si>
    <t>Flow</t>
  </si>
  <si>
    <t>Existing Infiltration Rate</t>
  </si>
  <si>
    <t>Direct Discharge</t>
  </si>
  <si>
    <t>Direct discharges at the Treatrment Plant</t>
  </si>
  <si>
    <t>Direct discharges at the treatment plant</t>
  </si>
  <si>
    <t>Wastewater Received at Treatment Plant - m3/day</t>
  </si>
  <si>
    <t>Maximum Average Daily Flow</t>
  </si>
  <si>
    <t>Diurnal PeakFlow</t>
  </si>
  <si>
    <t>Projections of Wastewater Flows for Treatment</t>
  </si>
  <si>
    <t>Percentage of Discharge flow treated</t>
  </si>
  <si>
    <t>Wastewater Flow Treated</t>
  </si>
  <si>
    <t>Flow Not Treated</t>
  </si>
  <si>
    <t>m3 / day</t>
  </si>
  <si>
    <t>BOD Contributions</t>
  </si>
  <si>
    <t>Determining Strenght of Wasteflow Flow to be Treated</t>
  </si>
  <si>
    <t>g/cap/d</t>
  </si>
  <si>
    <t>mg/l</t>
  </si>
  <si>
    <t>Domestic load</t>
  </si>
  <si>
    <t xml:space="preserve">Industrial load </t>
  </si>
  <si>
    <t>Domestic Load - Septic Tank</t>
  </si>
  <si>
    <t>Total load</t>
  </si>
  <si>
    <t>Losses to groundwater</t>
  </si>
  <si>
    <t>BOD strength</t>
  </si>
  <si>
    <t>kg/d</t>
  </si>
  <si>
    <t>Calculation of Technical and Non Technical Losses and Flow rates</t>
  </si>
  <si>
    <t>Contribution</t>
  </si>
  <si>
    <t>Non Domestic</t>
  </si>
  <si>
    <t>BOD contributions</t>
  </si>
</sst>
</file>

<file path=xl/styles.xml><?xml version="1.0" encoding="utf-8"?>
<styleSheet xmlns="http://schemas.openxmlformats.org/spreadsheetml/2006/main">
  <numFmts count="27">
    <numFmt numFmtId="5" formatCode="&quot;EUR&quot;#,##0;\-&quot;EUR&quot;#,##0"/>
    <numFmt numFmtId="6" formatCode="&quot;EUR&quot;#,##0;[Red]\-&quot;EUR&quot;#,##0"/>
    <numFmt numFmtId="7" formatCode="&quot;EUR&quot;#,##0.00;\-&quot;EUR&quot;#,##0.00"/>
    <numFmt numFmtId="8" formatCode="&quot;EUR&quot;#,##0.00;[Red]\-&quot;EUR&quot;#,##0.00"/>
    <numFmt numFmtId="42" formatCode="_-&quot;EUR&quot;* #,##0_-;\-&quot;EUR&quot;* #,##0_-;_-&quot;EUR&quot;* &quot;-&quot;_-;_-@_-"/>
    <numFmt numFmtId="41" formatCode="_-* #,##0_-;\-* #,##0_-;_-* &quot;-&quot;_-;_-@_-"/>
    <numFmt numFmtId="44" formatCode="_-&quot;EUR&quot;* #,##0.00_-;\-&quot;EUR&quot;* #,##0.00_-;_-&quot;EUR&quot;* &quot;-&quot;??_-;_-@_-"/>
    <numFmt numFmtId="43" formatCode="_-* #,##0.00_-;\-* #,##0.00_-;_-* &quot;-&quot;??_-;_-@_-"/>
    <numFmt numFmtId="164" formatCode="0.0000"/>
    <numFmt numFmtId="165" formatCode="0.000"/>
    <numFmt numFmtId="166" formatCode="0.0%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0.000%"/>
    <numFmt numFmtId="171" formatCode="0.000000000000000%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4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4" xfId="0" applyFont="1" applyBorder="1" applyAlignment="1">
      <alignment/>
    </xf>
    <xf numFmtId="2" fontId="2" fillId="3" borderId="0" xfId="0" applyNumberFormat="1" applyFont="1" applyFill="1" applyBorder="1" applyAlignment="1">
      <alignment/>
    </xf>
    <xf numFmtId="0" fontId="0" fillId="5" borderId="7" xfId="0" applyFill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4" xfId="0" applyFont="1" applyBorder="1" applyAlignment="1">
      <alignment/>
    </xf>
    <xf numFmtId="2" fontId="2" fillId="3" borderId="4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0" fontId="10" fillId="4" borderId="6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0" fontId="10" fillId="4" borderId="8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9" fontId="0" fillId="0" borderId="0" xfId="21" applyBorder="1" applyAlignment="1">
      <alignment/>
    </xf>
    <xf numFmtId="166" fontId="0" fillId="0" borderId="0" xfId="21" applyNumberFormat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8" xfId="0" applyFill="1" applyBorder="1" applyAlignment="1">
      <alignment/>
    </xf>
    <xf numFmtId="9" fontId="0" fillId="0" borderId="0" xfId="0" applyNumberFormat="1" applyBorder="1" applyAlignment="1">
      <alignment/>
    </xf>
    <xf numFmtId="9" fontId="0" fillId="0" borderId="5" xfId="21" applyBorder="1" applyAlignment="1">
      <alignment/>
    </xf>
    <xf numFmtId="9" fontId="0" fillId="0" borderId="5" xfId="0" applyNumberFormat="1" applyBorder="1" applyAlignment="1">
      <alignment/>
    </xf>
    <xf numFmtId="9" fontId="2" fillId="3" borderId="0" xfId="21" applyFont="1" applyFill="1" applyBorder="1" applyAlignment="1">
      <alignment/>
    </xf>
    <xf numFmtId="166" fontId="2" fillId="3" borderId="0" xfId="21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0" fontId="0" fillId="5" borderId="6" xfId="0" applyFill="1" applyBorder="1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169" fontId="0" fillId="2" borderId="10" xfId="15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5" borderId="4" xfId="0" applyFill="1" applyBorder="1" applyAlignment="1">
      <alignment/>
    </xf>
    <xf numFmtId="169" fontId="0" fillId="0" borderId="4" xfId="15" applyNumberFormat="1" applyBorder="1" applyAlignment="1">
      <alignment/>
    </xf>
    <xf numFmtId="169" fontId="0" fillId="0" borderId="0" xfId="15" applyNumberFormat="1" applyBorder="1" applyAlignment="1">
      <alignment/>
    </xf>
    <xf numFmtId="169" fontId="0" fillId="0" borderId="5" xfId="15" applyNumberFormat="1" applyBorder="1" applyAlignment="1">
      <alignment/>
    </xf>
    <xf numFmtId="1" fontId="0" fillId="0" borderId="10" xfId="0" applyNumberFormat="1" applyBorder="1" applyAlignment="1">
      <alignment/>
    </xf>
    <xf numFmtId="169" fontId="0" fillId="2" borderId="4" xfId="15" applyNumberFormat="1" applyFill="1" applyBorder="1" applyAlignment="1">
      <alignment/>
    </xf>
    <xf numFmtId="169" fontId="0" fillId="2" borderId="0" xfId="15" applyNumberFormat="1" applyFill="1" applyBorder="1" applyAlignment="1">
      <alignment/>
    </xf>
    <xf numFmtId="43" fontId="0" fillId="0" borderId="10" xfId="15" applyNumberFormat="1" applyBorder="1" applyAlignment="1">
      <alignment/>
    </xf>
    <xf numFmtId="0" fontId="0" fillId="5" borderId="0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4" borderId="0" xfId="0" applyFill="1" applyAlignment="1">
      <alignment/>
    </xf>
    <xf numFmtId="0" fontId="13" fillId="4" borderId="0" xfId="0" applyFont="1" applyFill="1" applyAlignment="1">
      <alignment/>
    </xf>
    <xf numFmtId="0" fontId="6" fillId="4" borderId="0" xfId="0" applyFont="1" applyFill="1" applyAlignment="1">
      <alignment/>
    </xf>
    <xf numFmtId="2" fontId="2" fillId="0" borderId="4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66" fontId="0" fillId="0" borderId="4" xfId="21" applyNumberFormat="1" applyFill="1" applyBorder="1" applyAlignment="1">
      <alignment/>
    </xf>
    <xf numFmtId="166" fontId="0" fillId="0" borderId="0" xfId="21" applyNumberFormat="1" applyFill="1" applyBorder="1" applyAlignment="1">
      <alignment/>
    </xf>
    <xf numFmtId="166" fontId="2" fillId="3" borderId="5" xfId="21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3" borderId="0" xfId="0" applyFill="1" applyBorder="1" applyAlignment="1">
      <alignment/>
    </xf>
    <xf numFmtId="0" fontId="0" fillId="5" borderId="7" xfId="0" applyFill="1" applyBorder="1" applyAlignment="1">
      <alignment wrapText="1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center" wrapText="1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5" borderId="10" xfId="0" applyFill="1" applyBorder="1" applyAlignment="1">
      <alignment/>
    </xf>
    <xf numFmtId="1" fontId="0" fillId="0" borderId="0" xfId="0" applyNumberFormat="1" applyBorder="1" applyAlignment="1">
      <alignment/>
    </xf>
    <xf numFmtId="2" fontId="0" fillId="3" borderId="0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9" fontId="0" fillId="3" borderId="0" xfId="21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5" borderId="10" xfId="0" applyFont="1" applyFill="1" applyBorder="1" applyAlignment="1">
      <alignment/>
    </xf>
    <xf numFmtId="168" fontId="0" fillId="0" borderId="10" xfId="15" applyNumberFormat="1" applyBorder="1" applyAlignment="1">
      <alignment/>
    </xf>
    <xf numFmtId="166" fontId="0" fillId="0" borderId="0" xfId="0" applyNumberFormat="1" applyBorder="1" applyAlignment="1">
      <alignment/>
    </xf>
    <xf numFmtId="169" fontId="0" fillId="0" borderId="10" xfId="15" applyNumberFormat="1" applyBorder="1" applyAlignment="1">
      <alignment/>
    </xf>
    <xf numFmtId="2" fontId="0" fillId="0" borderId="0" xfId="0" applyNumberFormat="1" applyFill="1" applyBorder="1" applyAlignment="1">
      <alignment/>
    </xf>
    <xf numFmtId="169" fontId="0" fillId="0" borderId="0" xfId="0" applyNumberFormat="1" applyBorder="1" applyAlignment="1">
      <alignment/>
    </xf>
    <xf numFmtId="0" fontId="0" fillId="5" borderId="5" xfId="0" applyFill="1" applyBorder="1" applyAlignment="1">
      <alignment horizontal="center" wrapText="1"/>
    </xf>
    <xf numFmtId="9" fontId="0" fillId="0" borderId="0" xfId="2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0" xfId="0" applyFill="1" applyBorder="1" applyAlignment="1">
      <alignment/>
    </xf>
    <xf numFmtId="168" fontId="0" fillId="3" borderId="0" xfId="15" applyNumberFormat="1" applyFill="1" applyBorder="1" applyAlignment="1">
      <alignment/>
    </xf>
    <xf numFmtId="0" fontId="0" fillId="5" borderId="0" xfId="0" applyFont="1" applyFill="1" applyBorder="1" applyAlignment="1">
      <alignment horizontal="center" wrapText="1"/>
    </xf>
    <xf numFmtId="0" fontId="0" fillId="5" borderId="5" xfId="0" applyFont="1" applyFill="1" applyBorder="1" applyAlignment="1">
      <alignment horizontal="center" wrapText="1"/>
    </xf>
    <xf numFmtId="169" fontId="0" fillId="0" borderId="4" xfId="0" applyNumberFormat="1" applyBorder="1" applyAlignment="1">
      <alignment/>
    </xf>
    <xf numFmtId="43" fontId="0" fillId="0" borderId="0" xfId="15" applyBorder="1" applyAlignment="1">
      <alignment/>
    </xf>
    <xf numFmtId="43" fontId="0" fillId="0" borderId="5" xfId="15" applyBorder="1" applyAlignment="1">
      <alignment/>
    </xf>
    <xf numFmtId="169" fontId="0" fillId="0" borderId="5" xfId="0" applyNumberFormat="1" applyBorder="1" applyAlignment="1">
      <alignment/>
    </xf>
    <xf numFmtId="0" fontId="0" fillId="5" borderId="1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5" borderId="11" xfId="0" applyFill="1" applyBorder="1" applyAlignment="1">
      <alignment horizontal="right" wrapText="1"/>
    </xf>
    <xf numFmtId="0" fontId="0" fillId="5" borderId="7" xfId="0" applyFill="1" applyBorder="1" applyAlignment="1">
      <alignment horizontal="right" wrapText="1"/>
    </xf>
    <xf numFmtId="0" fontId="0" fillId="5" borderId="8" xfId="0" applyFill="1" applyBorder="1" applyAlignment="1">
      <alignment horizontal="right" wrapText="1"/>
    </xf>
    <xf numFmtId="169" fontId="0" fillId="0" borderId="4" xfId="15" applyNumberFormat="1" applyFill="1" applyBorder="1" applyAlignment="1">
      <alignment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9"/>
  <sheetViews>
    <sheetView workbookViewId="0" topLeftCell="A160">
      <selection activeCell="B108" sqref="B108"/>
    </sheetView>
  </sheetViews>
  <sheetFormatPr defaultColWidth="9.140625" defaultRowHeight="12.75"/>
  <cols>
    <col min="2" max="2" width="12.7109375" style="0" customWidth="1"/>
    <col min="3" max="3" width="11.7109375" style="0" customWidth="1"/>
    <col min="5" max="5" width="19.00390625" style="0" customWidth="1"/>
  </cols>
  <sheetData>
    <row r="2" spans="2:12" ht="12.75">
      <c r="B2" s="67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2:12" ht="15.75">
      <c r="B3" s="75" t="s">
        <v>22</v>
      </c>
      <c r="C3" s="70"/>
      <c r="D3" s="70"/>
      <c r="E3" s="70"/>
      <c r="F3" s="70"/>
      <c r="G3" s="76">
        <v>2006</v>
      </c>
      <c r="H3" s="70"/>
      <c r="I3" s="70"/>
      <c r="J3" s="70"/>
      <c r="K3" s="70"/>
      <c r="L3" s="71"/>
    </row>
    <row r="4" spans="2:12" ht="12.75">
      <c r="B4" s="72"/>
      <c r="C4" s="73"/>
      <c r="D4" s="73"/>
      <c r="E4" s="73"/>
      <c r="F4" s="73"/>
      <c r="G4" s="73"/>
      <c r="H4" s="73"/>
      <c r="I4" s="73"/>
      <c r="J4" s="73"/>
      <c r="K4" s="73"/>
      <c r="L4" s="74"/>
    </row>
    <row r="7" spans="2:12" ht="12.75">
      <c r="B7" s="31"/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2:12" ht="15.75">
      <c r="B8" s="181" t="s">
        <v>14</v>
      </c>
      <c r="C8" s="182"/>
      <c r="D8" s="182"/>
      <c r="E8" s="182"/>
      <c r="F8" s="182"/>
      <c r="G8" s="182"/>
      <c r="H8" s="182"/>
      <c r="I8" s="182"/>
      <c r="J8" s="182"/>
      <c r="K8" s="182"/>
      <c r="L8" s="183"/>
    </row>
    <row r="9" spans="2:12" ht="12.75">
      <c r="B9" s="34"/>
      <c r="C9" s="35"/>
      <c r="D9" s="35"/>
      <c r="E9" s="35"/>
      <c r="F9" s="35"/>
      <c r="G9" s="35"/>
      <c r="H9" s="35"/>
      <c r="I9" s="35"/>
      <c r="J9" s="35"/>
      <c r="K9" s="35"/>
      <c r="L9" s="36"/>
    </row>
    <row r="10" spans="2:12" ht="12.75">
      <c r="B10" s="10"/>
      <c r="C10" s="11"/>
      <c r="D10" s="11"/>
      <c r="E10" s="12"/>
      <c r="F10" s="11"/>
      <c r="G10" s="11"/>
      <c r="H10" s="11"/>
      <c r="I10" s="11"/>
      <c r="J10" s="11"/>
      <c r="K10" s="11"/>
      <c r="L10" s="12"/>
    </row>
    <row r="11" spans="1:12" ht="12.75">
      <c r="A11">
        <v>1</v>
      </c>
      <c r="B11" s="20" t="str">
        <f>IF(SUM(F62:L63)&gt;0,"Data Incorrectly Entered"," ")</f>
        <v>Data Incorrectly Entered</v>
      </c>
      <c r="C11" s="21"/>
      <c r="D11" s="21"/>
      <c r="E11" s="28"/>
      <c r="F11" s="22">
        <v>2001</v>
      </c>
      <c r="G11" s="22">
        <v>2002</v>
      </c>
      <c r="H11" s="22">
        <v>2003</v>
      </c>
      <c r="I11" s="22">
        <v>2004</v>
      </c>
      <c r="J11" s="22">
        <v>2005</v>
      </c>
      <c r="K11" s="22">
        <v>2006</v>
      </c>
      <c r="L11" s="23">
        <v>2007</v>
      </c>
    </row>
    <row r="12" spans="1:12" ht="12.75">
      <c r="A12">
        <f>+A11+1</f>
        <v>2</v>
      </c>
      <c r="B12" s="13"/>
      <c r="C12" s="14"/>
      <c r="D12" s="14"/>
      <c r="E12" s="15"/>
      <c r="F12" s="14"/>
      <c r="G12" s="14"/>
      <c r="H12" s="14"/>
      <c r="I12" s="14"/>
      <c r="J12" s="14"/>
      <c r="K12" s="14"/>
      <c r="L12" s="15"/>
    </row>
    <row r="13" spans="1:12" ht="12.75">
      <c r="A13">
        <f aca="true" t="shared" si="0" ref="A13:A59">+A12+1</f>
        <v>3</v>
      </c>
      <c r="B13" s="1"/>
      <c r="C13" s="2"/>
      <c r="D13" s="2"/>
      <c r="E13" s="3"/>
      <c r="F13" s="1"/>
      <c r="G13" s="2"/>
      <c r="H13" s="2"/>
      <c r="I13" s="2"/>
      <c r="J13" s="2"/>
      <c r="K13" s="2"/>
      <c r="L13" s="3"/>
    </row>
    <row r="14" spans="1:12" ht="12.75">
      <c r="A14">
        <f t="shared" si="0"/>
        <v>4</v>
      </c>
      <c r="B14" s="30" t="s">
        <v>28</v>
      </c>
      <c r="C14" s="5"/>
      <c r="D14" s="5"/>
      <c r="E14" s="6"/>
      <c r="F14" s="62">
        <v>500000</v>
      </c>
      <c r="G14" s="62">
        <f aca="true" t="shared" si="1" ref="G14:L14">+F14+2500</f>
        <v>502500</v>
      </c>
      <c r="H14" s="62">
        <f t="shared" si="1"/>
        <v>505000</v>
      </c>
      <c r="I14" s="62">
        <f t="shared" si="1"/>
        <v>507500</v>
      </c>
      <c r="J14" s="62">
        <f t="shared" si="1"/>
        <v>510000</v>
      </c>
      <c r="K14" s="62">
        <f t="shared" si="1"/>
        <v>512500</v>
      </c>
      <c r="L14" s="62">
        <f t="shared" si="1"/>
        <v>515000</v>
      </c>
    </row>
    <row r="15" spans="1:12" ht="12.75">
      <c r="A15">
        <f>+A14+1</f>
        <v>5</v>
      </c>
      <c r="B15" s="4"/>
      <c r="C15" s="5"/>
      <c r="D15" s="5"/>
      <c r="E15" s="6"/>
      <c r="F15" s="4"/>
      <c r="G15" s="5"/>
      <c r="H15" s="5"/>
      <c r="I15" s="5"/>
      <c r="J15" s="5"/>
      <c r="K15" s="5"/>
      <c r="L15" s="6"/>
    </row>
    <row r="16" spans="1:12" ht="12.75">
      <c r="A16">
        <f t="shared" si="0"/>
        <v>6</v>
      </c>
      <c r="B16" s="30" t="s">
        <v>12</v>
      </c>
      <c r="C16" s="5"/>
      <c r="D16" s="5"/>
      <c r="E16" s="6"/>
      <c r="F16" s="4"/>
      <c r="G16" s="5"/>
      <c r="H16" s="5"/>
      <c r="I16" s="5"/>
      <c r="J16" s="5"/>
      <c r="K16" s="5"/>
      <c r="L16" s="6"/>
    </row>
    <row r="17" spans="1:12" ht="12.75">
      <c r="A17">
        <f t="shared" si="0"/>
        <v>7</v>
      </c>
      <c r="B17" s="4"/>
      <c r="C17" s="5"/>
      <c r="D17" s="5"/>
      <c r="E17" s="6"/>
      <c r="F17" s="4"/>
      <c r="G17" s="5"/>
      <c r="H17" s="5"/>
      <c r="I17" s="5"/>
      <c r="J17" s="5"/>
      <c r="K17" s="5"/>
      <c r="L17" s="6"/>
    </row>
    <row r="18" spans="1:12" ht="12.75">
      <c r="A18">
        <f t="shared" si="0"/>
        <v>8</v>
      </c>
      <c r="B18" s="16" t="s">
        <v>0</v>
      </c>
      <c r="C18" s="17"/>
      <c r="D18" s="17" t="s">
        <v>1</v>
      </c>
      <c r="E18" s="29"/>
      <c r="F18" s="62"/>
      <c r="G18" s="24"/>
      <c r="H18" s="24"/>
      <c r="I18" s="24"/>
      <c r="J18" s="24"/>
      <c r="K18" s="24"/>
      <c r="L18" s="25"/>
    </row>
    <row r="19" spans="1:12" ht="12.75">
      <c r="A19">
        <f t="shared" si="0"/>
        <v>9</v>
      </c>
      <c r="B19" s="16"/>
      <c r="C19" s="17"/>
      <c r="D19" s="17"/>
      <c r="E19" s="29"/>
      <c r="F19" s="63"/>
      <c r="G19" s="18"/>
      <c r="H19" s="18"/>
      <c r="I19" s="18"/>
      <c r="J19" s="18"/>
      <c r="K19" s="18"/>
      <c r="L19" s="19"/>
    </row>
    <row r="20" spans="1:12" ht="12.75">
      <c r="A20">
        <f t="shared" si="0"/>
        <v>10</v>
      </c>
      <c r="B20" s="16"/>
      <c r="C20" s="17" t="s">
        <v>5</v>
      </c>
      <c r="D20" s="17" t="s">
        <v>21</v>
      </c>
      <c r="E20" s="29"/>
      <c r="F20" s="62">
        <v>100000</v>
      </c>
      <c r="G20" s="24">
        <f aca="true" t="shared" si="2" ref="G20:L20">+F20+5000</f>
        <v>105000</v>
      </c>
      <c r="H20" s="24">
        <f t="shared" si="2"/>
        <v>110000</v>
      </c>
      <c r="I20" s="24">
        <f t="shared" si="2"/>
        <v>115000</v>
      </c>
      <c r="J20" s="24">
        <f t="shared" si="2"/>
        <v>120000</v>
      </c>
      <c r="K20" s="24">
        <f t="shared" si="2"/>
        <v>125000</v>
      </c>
      <c r="L20" s="25">
        <f t="shared" si="2"/>
        <v>130000</v>
      </c>
    </row>
    <row r="21" spans="1:12" ht="12.75">
      <c r="A21">
        <f t="shared" si="0"/>
        <v>11</v>
      </c>
      <c r="B21" s="16"/>
      <c r="C21" s="17"/>
      <c r="D21" s="17" t="s">
        <v>2</v>
      </c>
      <c r="E21" s="29"/>
      <c r="F21" s="62">
        <v>10000</v>
      </c>
      <c r="G21" s="24">
        <f aca="true" t="shared" si="3" ref="G21:L21">+F21+1000</f>
        <v>11000</v>
      </c>
      <c r="H21" s="24">
        <f t="shared" si="3"/>
        <v>12000</v>
      </c>
      <c r="I21" s="24">
        <f t="shared" si="3"/>
        <v>13000</v>
      </c>
      <c r="J21" s="24">
        <f t="shared" si="3"/>
        <v>14000</v>
      </c>
      <c r="K21" s="24">
        <f t="shared" si="3"/>
        <v>15000</v>
      </c>
      <c r="L21" s="25">
        <f t="shared" si="3"/>
        <v>16000</v>
      </c>
    </row>
    <row r="22" spans="1:12" ht="12.75">
      <c r="A22">
        <f t="shared" si="0"/>
        <v>12</v>
      </c>
      <c r="B22" s="16"/>
      <c r="C22" s="17"/>
      <c r="D22" s="17" t="s">
        <v>3</v>
      </c>
      <c r="E22" s="29"/>
      <c r="F22" s="62">
        <v>20000</v>
      </c>
      <c r="G22" s="24">
        <f aca="true" t="shared" si="4" ref="G22:L23">+F22+500</f>
        <v>20500</v>
      </c>
      <c r="H22" s="24">
        <f t="shared" si="4"/>
        <v>21000</v>
      </c>
      <c r="I22" s="24">
        <f t="shared" si="4"/>
        <v>21500</v>
      </c>
      <c r="J22" s="24">
        <f t="shared" si="4"/>
        <v>22000</v>
      </c>
      <c r="K22" s="24">
        <f t="shared" si="4"/>
        <v>22500</v>
      </c>
      <c r="L22" s="25">
        <f t="shared" si="4"/>
        <v>23000</v>
      </c>
    </row>
    <row r="23" spans="1:12" ht="12.75">
      <c r="A23">
        <f t="shared" si="0"/>
        <v>13</v>
      </c>
      <c r="B23" s="16"/>
      <c r="C23" s="17"/>
      <c r="D23" s="17" t="s">
        <v>4</v>
      </c>
      <c r="E23" s="29"/>
      <c r="F23" s="62">
        <v>25000</v>
      </c>
      <c r="G23" s="24">
        <f t="shared" si="4"/>
        <v>25500</v>
      </c>
      <c r="H23" s="24">
        <f t="shared" si="4"/>
        <v>26000</v>
      </c>
      <c r="I23" s="24">
        <f t="shared" si="4"/>
        <v>26500</v>
      </c>
      <c r="J23" s="24">
        <f t="shared" si="4"/>
        <v>27000</v>
      </c>
      <c r="K23" s="24">
        <f t="shared" si="4"/>
        <v>27500</v>
      </c>
      <c r="L23" s="25">
        <f t="shared" si="4"/>
        <v>28000</v>
      </c>
    </row>
    <row r="24" spans="1:12" ht="12.75">
      <c r="A24">
        <f t="shared" si="0"/>
        <v>14</v>
      </c>
      <c r="B24" s="16"/>
      <c r="C24" s="17"/>
      <c r="D24" s="17" t="s">
        <v>6</v>
      </c>
      <c r="E24" s="29"/>
      <c r="F24" s="62">
        <v>5000</v>
      </c>
      <c r="G24" s="24">
        <f aca="true" t="shared" si="5" ref="G24:L24">+F24+250</f>
        <v>5250</v>
      </c>
      <c r="H24" s="24">
        <f t="shared" si="5"/>
        <v>5500</v>
      </c>
      <c r="I24" s="24">
        <f t="shared" si="5"/>
        <v>5750</v>
      </c>
      <c r="J24" s="24">
        <f t="shared" si="5"/>
        <v>6000</v>
      </c>
      <c r="K24" s="24">
        <f t="shared" si="5"/>
        <v>6250</v>
      </c>
      <c r="L24" s="25">
        <f t="shared" si="5"/>
        <v>6500</v>
      </c>
    </row>
    <row r="25" spans="1:12" ht="12.75">
      <c r="A25">
        <f t="shared" si="0"/>
        <v>15</v>
      </c>
      <c r="B25" s="16"/>
      <c r="C25" s="17"/>
      <c r="D25" s="17" t="s">
        <v>7</v>
      </c>
      <c r="E25" s="29"/>
      <c r="F25" s="62">
        <v>15000</v>
      </c>
      <c r="G25" s="24">
        <f aca="true" t="shared" si="6" ref="G25:L25">+F25+375</f>
        <v>15375</v>
      </c>
      <c r="H25" s="24">
        <f t="shared" si="6"/>
        <v>15750</v>
      </c>
      <c r="I25" s="24">
        <f t="shared" si="6"/>
        <v>16125</v>
      </c>
      <c r="J25" s="24">
        <f t="shared" si="6"/>
        <v>16500</v>
      </c>
      <c r="K25" s="24">
        <f t="shared" si="6"/>
        <v>16875</v>
      </c>
      <c r="L25" s="25">
        <f t="shared" si="6"/>
        <v>17250</v>
      </c>
    </row>
    <row r="26" spans="1:12" ht="12.75">
      <c r="A26">
        <f t="shared" si="0"/>
        <v>16</v>
      </c>
      <c r="B26" s="16"/>
      <c r="C26" s="17"/>
      <c r="D26" s="17"/>
      <c r="E26" s="29"/>
      <c r="F26" s="66"/>
      <c r="G26" s="26"/>
      <c r="H26" s="26"/>
      <c r="I26" s="26"/>
      <c r="J26" s="26"/>
      <c r="K26" s="26"/>
      <c r="L26" s="27"/>
    </row>
    <row r="27" spans="1:12" ht="12.75">
      <c r="A27">
        <f t="shared" si="0"/>
        <v>17</v>
      </c>
      <c r="B27" s="16"/>
      <c r="C27" s="17"/>
      <c r="D27" s="17" t="s">
        <v>46</v>
      </c>
      <c r="E27" s="29"/>
      <c r="F27" s="66">
        <f>+SUM(F20:F25)</f>
        <v>175000</v>
      </c>
      <c r="G27" s="66">
        <f aca="true" t="shared" si="7" ref="G27:L27">+SUM(G20:G25)</f>
        <v>182625</v>
      </c>
      <c r="H27" s="66">
        <f t="shared" si="7"/>
        <v>190250</v>
      </c>
      <c r="I27" s="66">
        <f t="shared" si="7"/>
        <v>197875</v>
      </c>
      <c r="J27" s="66">
        <f t="shared" si="7"/>
        <v>205500</v>
      </c>
      <c r="K27" s="66">
        <f t="shared" si="7"/>
        <v>213125</v>
      </c>
      <c r="L27" s="66">
        <f t="shared" si="7"/>
        <v>220750</v>
      </c>
    </row>
    <row r="28" spans="1:12" ht="12.75">
      <c r="A28">
        <f t="shared" si="0"/>
        <v>18</v>
      </c>
      <c r="B28" s="16"/>
      <c r="C28" s="17"/>
      <c r="D28" s="17"/>
      <c r="E28" s="29"/>
      <c r="F28" s="63"/>
      <c r="G28" s="18"/>
      <c r="H28" s="18"/>
      <c r="I28" s="18"/>
      <c r="J28" s="18"/>
      <c r="K28" s="18"/>
      <c r="L28" s="19"/>
    </row>
    <row r="29" spans="1:12" ht="12.75">
      <c r="A29">
        <f t="shared" si="0"/>
        <v>19</v>
      </c>
      <c r="B29" s="16"/>
      <c r="C29" s="17" t="s">
        <v>8</v>
      </c>
      <c r="D29" s="17" t="s">
        <v>21</v>
      </c>
      <c r="E29" s="29"/>
      <c r="F29" s="62">
        <v>100000</v>
      </c>
      <c r="G29" s="24">
        <f aca="true" t="shared" si="8" ref="G29:L29">+F29+5000</f>
        <v>105000</v>
      </c>
      <c r="H29" s="24">
        <f t="shared" si="8"/>
        <v>110000</v>
      </c>
      <c r="I29" s="24">
        <f t="shared" si="8"/>
        <v>115000</v>
      </c>
      <c r="J29" s="24">
        <f t="shared" si="8"/>
        <v>120000</v>
      </c>
      <c r="K29" s="24">
        <f t="shared" si="8"/>
        <v>125000</v>
      </c>
      <c r="L29" s="25">
        <f t="shared" si="8"/>
        <v>130000</v>
      </c>
    </row>
    <row r="30" spans="1:12" ht="12.75">
      <c r="A30">
        <f t="shared" si="0"/>
        <v>20</v>
      </c>
      <c r="B30" s="16"/>
      <c r="C30" s="17"/>
      <c r="D30" s="17" t="s">
        <v>2</v>
      </c>
      <c r="E30" s="29"/>
      <c r="F30" s="62">
        <v>10000</v>
      </c>
      <c r="G30" s="24">
        <f aca="true" t="shared" si="9" ref="G30:L30">+F30+1000</f>
        <v>11000</v>
      </c>
      <c r="H30" s="24">
        <f t="shared" si="9"/>
        <v>12000</v>
      </c>
      <c r="I30" s="24">
        <f t="shared" si="9"/>
        <v>13000</v>
      </c>
      <c r="J30" s="24">
        <f t="shared" si="9"/>
        <v>14000</v>
      </c>
      <c r="K30" s="24">
        <f t="shared" si="9"/>
        <v>15000</v>
      </c>
      <c r="L30" s="25">
        <f t="shared" si="9"/>
        <v>16000</v>
      </c>
    </row>
    <row r="31" spans="1:12" ht="12.75">
      <c r="A31">
        <f t="shared" si="0"/>
        <v>21</v>
      </c>
      <c r="B31" s="16"/>
      <c r="C31" s="17"/>
      <c r="D31" s="17" t="s">
        <v>3</v>
      </c>
      <c r="E31" s="29"/>
      <c r="F31" s="62">
        <v>20000</v>
      </c>
      <c r="G31" s="24">
        <f aca="true" t="shared" si="10" ref="G31:L32">+F31+500</f>
        <v>20500</v>
      </c>
      <c r="H31" s="24">
        <f t="shared" si="10"/>
        <v>21000</v>
      </c>
      <c r="I31" s="24">
        <f t="shared" si="10"/>
        <v>21500</v>
      </c>
      <c r="J31" s="24">
        <f t="shared" si="10"/>
        <v>22000</v>
      </c>
      <c r="K31" s="24">
        <f t="shared" si="10"/>
        <v>22500</v>
      </c>
      <c r="L31" s="25">
        <f t="shared" si="10"/>
        <v>23000</v>
      </c>
    </row>
    <row r="32" spans="1:12" ht="12.75">
      <c r="A32">
        <f t="shared" si="0"/>
        <v>22</v>
      </c>
      <c r="B32" s="16"/>
      <c r="C32" s="17"/>
      <c r="D32" s="17" t="s">
        <v>4</v>
      </c>
      <c r="E32" s="29"/>
      <c r="F32" s="62">
        <v>25000</v>
      </c>
      <c r="G32" s="24">
        <f t="shared" si="10"/>
        <v>25500</v>
      </c>
      <c r="H32" s="24">
        <f t="shared" si="10"/>
        <v>26000</v>
      </c>
      <c r="I32" s="24">
        <f t="shared" si="10"/>
        <v>26500</v>
      </c>
      <c r="J32" s="24">
        <f t="shared" si="10"/>
        <v>27000</v>
      </c>
      <c r="K32" s="24">
        <f t="shared" si="10"/>
        <v>27500</v>
      </c>
      <c r="L32" s="25">
        <f t="shared" si="10"/>
        <v>28000</v>
      </c>
    </row>
    <row r="33" spans="1:12" ht="12.75">
      <c r="A33">
        <f t="shared" si="0"/>
        <v>23</v>
      </c>
      <c r="B33" s="16"/>
      <c r="C33" s="17"/>
      <c r="D33" s="17" t="s">
        <v>6</v>
      </c>
      <c r="E33" s="29"/>
      <c r="F33" s="62">
        <v>5000</v>
      </c>
      <c r="G33" s="24">
        <f aca="true" t="shared" si="11" ref="G33:L33">+F33+250</f>
        <v>5250</v>
      </c>
      <c r="H33" s="24">
        <f t="shared" si="11"/>
        <v>5500</v>
      </c>
      <c r="I33" s="24">
        <f t="shared" si="11"/>
        <v>5750</v>
      </c>
      <c r="J33" s="24">
        <f t="shared" si="11"/>
        <v>6000</v>
      </c>
      <c r="K33" s="24">
        <f t="shared" si="11"/>
        <v>6250</v>
      </c>
      <c r="L33" s="25">
        <f t="shared" si="11"/>
        <v>6500</v>
      </c>
    </row>
    <row r="34" spans="1:12" ht="12.75">
      <c r="A34">
        <f t="shared" si="0"/>
        <v>24</v>
      </c>
      <c r="B34" s="16"/>
      <c r="C34" s="17"/>
      <c r="D34" s="17" t="s">
        <v>7</v>
      </c>
      <c r="E34" s="29"/>
      <c r="F34" s="62">
        <v>15000</v>
      </c>
      <c r="G34" s="24">
        <f aca="true" t="shared" si="12" ref="G34:L34">+F34+375</f>
        <v>15375</v>
      </c>
      <c r="H34" s="24">
        <f t="shared" si="12"/>
        <v>15750</v>
      </c>
      <c r="I34" s="24">
        <f t="shared" si="12"/>
        <v>16125</v>
      </c>
      <c r="J34" s="24">
        <f t="shared" si="12"/>
        <v>16500</v>
      </c>
      <c r="K34" s="24">
        <f t="shared" si="12"/>
        <v>16875</v>
      </c>
      <c r="L34" s="25">
        <f t="shared" si="12"/>
        <v>17250</v>
      </c>
    </row>
    <row r="35" spans="1:12" ht="12.75">
      <c r="A35">
        <f t="shared" si="0"/>
        <v>25</v>
      </c>
      <c r="B35" s="16"/>
      <c r="C35" s="17"/>
      <c r="D35" s="17"/>
      <c r="E35" s="29"/>
      <c r="F35" s="66"/>
      <c r="G35" s="26"/>
      <c r="H35" s="26"/>
      <c r="I35" s="26"/>
      <c r="J35" s="26"/>
      <c r="K35" s="26"/>
      <c r="L35" s="27"/>
    </row>
    <row r="36" spans="1:12" ht="12.75">
      <c r="A36">
        <f t="shared" si="0"/>
        <v>26</v>
      </c>
      <c r="B36" s="16"/>
      <c r="C36" s="17"/>
      <c r="D36" s="17" t="s">
        <v>47</v>
      </c>
      <c r="E36" s="29"/>
      <c r="F36" s="66">
        <f>+SUM(F29:F34)</f>
        <v>175000</v>
      </c>
      <c r="G36" s="66">
        <f aca="true" t="shared" si="13" ref="G36:L36">+SUM(G29:G34)</f>
        <v>182625</v>
      </c>
      <c r="H36" s="66">
        <f t="shared" si="13"/>
        <v>190250</v>
      </c>
      <c r="I36" s="66">
        <f t="shared" si="13"/>
        <v>197875</v>
      </c>
      <c r="J36" s="66">
        <f t="shared" si="13"/>
        <v>205500</v>
      </c>
      <c r="K36" s="66">
        <f t="shared" si="13"/>
        <v>213125</v>
      </c>
      <c r="L36" s="66">
        <f t="shared" si="13"/>
        <v>220750</v>
      </c>
    </row>
    <row r="37" spans="1:12" ht="12.75">
      <c r="A37">
        <f t="shared" si="0"/>
        <v>27</v>
      </c>
      <c r="B37" s="16"/>
      <c r="C37" s="17"/>
      <c r="D37" s="17"/>
      <c r="E37" s="29"/>
      <c r="F37" s="66"/>
      <c r="G37" s="26"/>
      <c r="H37" s="26"/>
      <c r="I37" s="26"/>
      <c r="J37" s="26"/>
      <c r="K37" s="26"/>
      <c r="L37" s="27"/>
    </row>
    <row r="38" spans="1:12" ht="12.75">
      <c r="A38">
        <f t="shared" si="0"/>
        <v>28</v>
      </c>
      <c r="B38" s="16"/>
      <c r="C38" s="17"/>
      <c r="D38" s="17" t="s">
        <v>29</v>
      </c>
      <c r="E38" s="29"/>
      <c r="F38" s="66">
        <f>+IF(F18=0,+SUM(F27,F36),+F18)</f>
        <v>350000</v>
      </c>
      <c r="G38" s="66">
        <f aca="true" t="shared" si="14" ref="G38:L38">+IF(G18=0,+SUM(G27,G36),+G18)</f>
        <v>365250</v>
      </c>
      <c r="H38" s="66">
        <f t="shared" si="14"/>
        <v>380500</v>
      </c>
      <c r="I38" s="66">
        <f t="shared" si="14"/>
        <v>395750</v>
      </c>
      <c r="J38" s="66">
        <f t="shared" si="14"/>
        <v>411000</v>
      </c>
      <c r="K38" s="66">
        <f t="shared" si="14"/>
        <v>426250</v>
      </c>
      <c r="L38" s="66">
        <f t="shared" si="14"/>
        <v>441500</v>
      </c>
    </row>
    <row r="39" spans="1:12" ht="12.75">
      <c r="A39">
        <f t="shared" si="0"/>
        <v>29</v>
      </c>
      <c r="B39" s="16"/>
      <c r="C39" s="17"/>
      <c r="D39" s="17"/>
      <c r="E39" s="29"/>
      <c r="F39" s="66"/>
      <c r="G39" s="26"/>
      <c r="H39" s="26"/>
      <c r="I39" s="26"/>
      <c r="J39" s="26"/>
      <c r="K39" s="26"/>
      <c r="L39" s="27"/>
    </row>
    <row r="40" spans="1:12" ht="12.75">
      <c r="A40">
        <f t="shared" si="0"/>
        <v>30</v>
      </c>
      <c r="B40" s="16"/>
      <c r="C40" s="17"/>
      <c r="D40" s="17"/>
      <c r="E40" s="29"/>
      <c r="F40" s="63"/>
      <c r="G40" s="18"/>
      <c r="H40" s="18"/>
      <c r="I40" s="18"/>
      <c r="J40" s="18"/>
      <c r="K40" s="18"/>
      <c r="L40" s="19"/>
    </row>
    <row r="41" spans="1:12" ht="12.75">
      <c r="A41">
        <f t="shared" si="0"/>
        <v>31</v>
      </c>
      <c r="B41" s="30" t="s">
        <v>13</v>
      </c>
      <c r="C41" s="5"/>
      <c r="D41" s="5"/>
      <c r="E41" s="6"/>
      <c r="F41" s="63"/>
      <c r="G41" s="18"/>
      <c r="H41" s="18"/>
      <c r="I41" s="18"/>
      <c r="J41" s="18"/>
      <c r="K41" s="18"/>
      <c r="L41" s="19"/>
    </row>
    <row r="42" spans="1:12" ht="12.75">
      <c r="A42">
        <f t="shared" si="0"/>
        <v>32</v>
      </c>
      <c r="B42" s="4"/>
      <c r="C42" s="5"/>
      <c r="D42" s="5"/>
      <c r="E42" s="6"/>
      <c r="F42" s="63"/>
      <c r="G42" s="18"/>
      <c r="H42" s="18"/>
      <c r="I42" s="18"/>
      <c r="J42" s="18"/>
      <c r="K42" s="18"/>
      <c r="L42" s="19"/>
    </row>
    <row r="43" spans="1:12" ht="12.75">
      <c r="A43">
        <f t="shared" si="0"/>
        <v>33</v>
      </c>
      <c r="B43" s="16" t="s">
        <v>0</v>
      </c>
      <c r="C43" s="17"/>
      <c r="D43" s="17" t="s">
        <v>1</v>
      </c>
      <c r="E43" s="29"/>
      <c r="F43" s="62"/>
      <c r="G43" s="24"/>
      <c r="H43" s="24"/>
      <c r="I43" s="24"/>
      <c r="J43" s="24"/>
      <c r="K43" s="24"/>
      <c r="L43" s="25"/>
    </row>
    <row r="44" spans="1:12" ht="12.75">
      <c r="A44">
        <f t="shared" si="0"/>
        <v>34</v>
      </c>
      <c r="B44" s="16"/>
      <c r="C44" s="17"/>
      <c r="D44" s="17"/>
      <c r="E44" s="29"/>
      <c r="F44" s="63"/>
      <c r="G44" s="18"/>
      <c r="H44" s="18"/>
      <c r="I44" s="18"/>
      <c r="J44" s="18"/>
      <c r="K44" s="18"/>
      <c r="L44" s="19"/>
    </row>
    <row r="45" spans="1:12" ht="12.75">
      <c r="A45">
        <f t="shared" si="0"/>
        <v>35</v>
      </c>
      <c r="B45" s="16"/>
      <c r="C45" s="17" t="s">
        <v>5</v>
      </c>
      <c r="D45" s="17" t="s">
        <v>21</v>
      </c>
      <c r="E45" s="29"/>
      <c r="F45" s="62">
        <f aca="true" t="shared" si="15" ref="F45:F50">+F20*0.75</f>
        <v>75000</v>
      </c>
      <c r="G45" s="62">
        <f aca="true" t="shared" si="16" ref="G45:L45">+G20*0.75</f>
        <v>78750</v>
      </c>
      <c r="H45" s="62">
        <f t="shared" si="16"/>
        <v>82500</v>
      </c>
      <c r="I45" s="62">
        <f t="shared" si="16"/>
        <v>86250</v>
      </c>
      <c r="J45" s="62">
        <f t="shared" si="16"/>
        <v>90000</v>
      </c>
      <c r="K45" s="62">
        <f t="shared" si="16"/>
        <v>93750</v>
      </c>
      <c r="L45" s="62">
        <f t="shared" si="16"/>
        <v>97500</v>
      </c>
    </row>
    <row r="46" spans="1:12" ht="12.75">
      <c r="A46">
        <f t="shared" si="0"/>
        <v>36</v>
      </c>
      <c r="B46" s="16"/>
      <c r="C46" s="17"/>
      <c r="D46" s="17" t="s">
        <v>2</v>
      </c>
      <c r="E46" s="29"/>
      <c r="F46" s="62">
        <f t="shared" si="15"/>
        <v>7500</v>
      </c>
      <c r="G46" s="62">
        <f aca="true" t="shared" si="17" ref="G46:L46">+G21*0.75</f>
        <v>8250</v>
      </c>
      <c r="H46" s="62">
        <f t="shared" si="17"/>
        <v>9000</v>
      </c>
      <c r="I46" s="62">
        <f t="shared" si="17"/>
        <v>9750</v>
      </c>
      <c r="J46" s="62">
        <f t="shared" si="17"/>
        <v>10500</v>
      </c>
      <c r="K46" s="62">
        <f t="shared" si="17"/>
        <v>11250</v>
      </c>
      <c r="L46" s="62">
        <f t="shared" si="17"/>
        <v>12000</v>
      </c>
    </row>
    <row r="47" spans="1:12" ht="12.75">
      <c r="A47">
        <f t="shared" si="0"/>
        <v>37</v>
      </c>
      <c r="B47" s="16"/>
      <c r="C47" s="17"/>
      <c r="D47" s="17" t="s">
        <v>3</v>
      </c>
      <c r="E47" s="29"/>
      <c r="F47" s="62">
        <f t="shared" si="15"/>
        <v>15000</v>
      </c>
      <c r="G47" s="62">
        <f aca="true" t="shared" si="18" ref="G47:L47">+G22*0.75</f>
        <v>15375</v>
      </c>
      <c r="H47" s="62">
        <f t="shared" si="18"/>
        <v>15750</v>
      </c>
      <c r="I47" s="62">
        <f t="shared" si="18"/>
        <v>16125</v>
      </c>
      <c r="J47" s="62">
        <f t="shared" si="18"/>
        <v>16500</v>
      </c>
      <c r="K47" s="62">
        <f t="shared" si="18"/>
        <v>16875</v>
      </c>
      <c r="L47" s="62">
        <f t="shared" si="18"/>
        <v>17250</v>
      </c>
    </row>
    <row r="48" spans="1:12" ht="12.75">
      <c r="A48">
        <f t="shared" si="0"/>
        <v>38</v>
      </c>
      <c r="B48" s="16"/>
      <c r="C48" s="17"/>
      <c r="D48" s="17" t="s">
        <v>4</v>
      </c>
      <c r="E48" s="29"/>
      <c r="F48" s="62">
        <f t="shared" si="15"/>
        <v>18750</v>
      </c>
      <c r="G48" s="62">
        <f aca="true" t="shared" si="19" ref="G48:L48">+G23*0.75</f>
        <v>19125</v>
      </c>
      <c r="H48" s="62">
        <f t="shared" si="19"/>
        <v>19500</v>
      </c>
      <c r="I48" s="62">
        <f t="shared" si="19"/>
        <v>19875</v>
      </c>
      <c r="J48" s="62">
        <f t="shared" si="19"/>
        <v>20250</v>
      </c>
      <c r="K48" s="62">
        <f t="shared" si="19"/>
        <v>20625</v>
      </c>
      <c r="L48" s="62">
        <f t="shared" si="19"/>
        <v>21000</v>
      </c>
    </row>
    <row r="49" spans="1:12" ht="12.75">
      <c r="A49">
        <f t="shared" si="0"/>
        <v>39</v>
      </c>
      <c r="B49" s="16"/>
      <c r="C49" s="17"/>
      <c r="D49" s="17" t="s">
        <v>6</v>
      </c>
      <c r="E49" s="29"/>
      <c r="F49" s="62">
        <f t="shared" si="15"/>
        <v>3750</v>
      </c>
      <c r="G49" s="62">
        <f aca="true" t="shared" si="20" ref="G49:L49">+G24*0.75</f>
        <v>3937.5</v>
      </c>
      <c r="H49" s="62">
        <f t="shared" si="20"/>
        <v>4125</v>
      </c>
      <c r="I49" s="62">
        <f t="shared" si="20"/>
        <v>4312.5</v>
      </c>
      <c r="J49" s="62">
        <f t="shared" si="20"/>
        <v>4500</v>
      </c>
      <c r="K49" s="62">
        <f t="shared" si="20"/>
        <v>4687.5</v>
      </c>
      <c r="L49" s="62">
        <f t="shared" si="20"/>
        <v>4875</v>
      </c>
    </row>
    <row r="50" spans="1:12" ht="12.75">
      <c r="A50">
        <f t="shared" si="0"/>
        <v>40</v>
      </c>
      <c r="B50" s="16"/>
      <c r="C50" s="17"/>
      <c r="D50" s="17" t="s">
        <v>7</v>
      </c>
      <c r="E50" s="29"/>
      <c r="F50" s="62">
        <f t="shared" si="15"/>
        <v>11250</v>
      </c>
      <c r="G50" s="62">
        <f aca="true" t="shared" si="21" ref="G50:L50">+G25*0.75</f>
        <v>11531.25</v>
      </c>
      <c r="H50" s="62">
        <f t="shared" si="21"/>
        <v>11812.5</v>
      </c>
      <c r="I50" s="62">
        <f t="shared" si="21"/>
        <v>12093.75</v>
      </c>
      <c r="J50" s="62">
        <f t="shared" si="21"/>
        <v>12375</v>
      </c>
      <c r="K50" s="62">
        <f t="shared" si="21"/>
        <v>12656.25</v>
      </c>
      <c r="L50" s="62">
        <f t="shared" si="21"/>
        <v>12937.5</v>
      </c>
    </row>
    <row r="51" spans="1:12" ht="12.75">
      <c r="A51">
        <f t="shared" si="0"/>
        <v>41</v>
      </c>
      <c r="B51" s="16"/>
      <c r="C51" s="17"/>
      <c r="D51" s="17"/>
      <c r="E51" s="29"/>
      <c r="F51" s="63"/>
      <c r="G51" s="63"/>
      <c r="H51" s="63"/>
      <c r="I51" s="63"/>
      <c r="J51" s="63"/>
      <c r="K51" s="63"/>
      <c r="L51" s="63"/>
    </row>
    <row r="52" spans="1:12" ht="12.75">
      <c r="A52">
        <f t="shared" si="0"/>
        <v>42</v>
      </c>
      <c r="B52" s="16"/>
      <c r="C52" s="17" t="s">
        <v>8</v>
      </c>
      <c r="D52" s="17" t="s">
        <v>21</v>
      </c>
      <c r="E52" s="29"/>
      <c r="F52" s="62">
        <f aca="true" t="shared" si="22" ref="F52:F57">+F29*0.75</f>
        <v>75000</v>
      </c>
      <c r="G52" s="62">
        <f aca="true" t="shared" si="23" ref="G52:L52">+G29*0.75</f>
        <v>78750</v>
      </c>
      <c r="H52" s="62">
        <f t="shared" si="23"/>
        <v>82500</v>
      </c>
      <c r="I52" s="62">
        <f t="shared" si="23"/>
        <v>86250</v>
      </c>
      <c r="J52" s="62">
        <f t="shared" si="23"/>
        <v>90000</v>
      </c>
      <c r="K52" s="62">
        <f t="shared" si="23"/>
        <v>93750</v>
      </c>
      <c r="L52" s="62">
        <f t="shared" si="23"/>
        <v>97500</v>
      </c>
    </row>
    <row r="53" spans="1:12" ht="12.75">
      <c r="A53">
        <f t="shared" si="0"/>
        <v>43</v>
      </c>
      <c r="B53" s="16"/>
      <c r="C53" s="17"/>
      <c r="D53" s="17" t="s">
        <v>2</v>
      </c>
      <c r="E53" s="29"/>
      <c r="F53" s="62">
        <f t="shared" si="22"/>
        <v>7500</v>
      </c>
      <c r="G53" s="62">
        <f aca="true" t="shared" si="24" ref="G53:L53">+G30*0.75</f>
        <v>8250</v>
      </c>
      <c r="H53" s="62">
        <f t="shared" si="24"/>
        <v>9000</v>
      </c>
      <c r="I53" s="62">
        <f t="shared" si="24"/>
        <v>9750</v>
      </c>
      <c r="J53" s="62">
        <f t="shared" si="24"/>
        <v>10500</v>
      </c>
      <c r="K53" s="62">
        <f t="shared" si="24"/>
        <v>11250</v>
      </c>
      <c r="L53" s="62">
        <f t="shared" si="24"/>
        <v>12000</v>
      </c>
    </row>
    <row r="54" spans="1:12" ht="12.75">
      <c r="A54">
        <f t="shared" si="0"/>
        <v>44</v>
      </c>
      <c r="B54" s="16"/>
      <c r="C54" s="17"/>
      <c r="D54" s="17" t="s">
        <v>3</v>
      </c>
      <c r="E54" s="29"/>
      <c r="F54" s="62">
        <f t="shared" si="22"/>
        <v>15000</v>
      </c>
      <c r="G54" s="62">
        <f aca="true" t="shared" si="25" ref="G54:L54">+G31*0.75</f>
        <v>15375</v>
      </c>
      <c r="H54" s="62">
        <f t="shared" si="25"/>
        <v>15750</v>
      </c>
      <c r="I54" s="62">
        <f t="shared" si="25"/>
        <v>16125</v>
      </c>
      <c r="J54" s="62">
        <f t="shared" si="25"/>
        <v>16500</v>
      </c>
      <c r="K54" s="62">
        <f t="shared" si="25"/>
        <v>16875</v>
      </c>
      <c r="L54" s="62">
        <f t="shared" si="25"/>
        <v>17250</v>
      </c>
    </row>
    <row r="55" spans="1:12" ht="12.75">
      <c r="A55">
        <f t="shared" si="0"/>
        <v>45</v>
      </c>
      <c r="B55" s="16"/>
      <c r="C55" s="17"/>
      <c r="D55" s="17" t="s">
        <v>4</v>
      </c>
      <c r="E55" s="29"/>
      <c r="F55" s="62">
        <f t="shared" si="22"/>
        <v>18750</v>
      </c>
      <c r="G55" s="62">
        <f aca="true" t="shared" si="26" ref="G55:L55">+G32*0.75</f>
        <v>19125</v>
      </c>
      <c r="H55" s="62">
        <f t="shared" si="26"/>
        <v>19500</v>
      </c>
      <c r="I55" s="62">
        <f t="shared" si="26"/>
        <v>19875</v>
      </c>
      <c r="J55" s="62">
        <f t="shared" si="26"/>
        <v>20250</v>
      </c>
      <c r="K55" s="62">
        <f t="shared" si="26"/>
        <v>20625</v>
      </c>
      <c r="L55" s="62">
        <f t="shared" si="26"/>
        <v>21000</v>
      </c>
    </row>
    <row r="56" spans="1:12" ht="12.75">
      <c r="A56">
        <f t="shared" si="0"/>
        <v>46</v>
      </c>
      <c r="B56" s="16"/>
      <c r="C56" s="17"/>
      <c r="D56" s="17" t="s">
        <v>6</v>
      </c>
      <c r="E56" s="29"/>
      <c r="F56" s="62">
        <f t="shared" si="22"/>
        <v>3750</v>
      </c>
      <c r="G56" s="62">
        <f aca="true" t="shared" si="27" ref="G56:L56">+G33*0.75</f>
        <v>3937.5</v>
      </c>
      <c r="H56" s="62">
        <f t="shared" si="27"/>
        <v>4125</v>
      </c>
      <c r="I56" s="62">
        <f t="shared" si="27"/>
        <v>4312.5</v>
      </c>
      <c r="J56" s="62">
        <f t="shared" si="27"/>
        <v>4500</v>
      </c>
      <c r="K56" s="62">
        <f t="shared" si="27"/>
        <v>4687.5</v>
      </c>
      <c r="L56" s="62">
        <f t="shared" si="27"/>
        <v>4875</v>
      </c>
    </row>
    <row r="57" spans="1:12" ht="12.75">
      <c r="A57">
        <f t="shared" si="0"/>
        <v>47</v>
      </c>
      <c r="B57" s="16"/>
      <c r="C57" s="17"/>
      <c r="D57" s="17" t="s">
        <v>7</v>
      </c>
      <c r="E57" s="29"/>
      <c r="F57" s="62">
        <f t="shared" si="22"/>
        <v>11250</v>
      </c>
      <c r="G57" s="62">
        <f aca="true" t="shared" si="28" ref="G57:L57">+G34*0.75</f>
        <v>11531.25</v>
      </c>
      <c r="H57" s="62">
        <f t="shared" si="28"/>
        <v>11812.5</v>
      </c>
      <c r="I57" s="62">
        <f t="shared" si="28"/>
        <v>12093.75</v>
      </c>
      <c r="J57" s="62">
        <f t="shared" si="28"/>
        <v>12375</v>
      </c>
      <c r="K57" s="62">
        <f t="shared" si="28"/>
        <v>12656.25</v>
      </c>
      <c r="L57" s="62">
        <f t="shared" si="28"/>
        <v>12937.5</v>
      </c>
    </row>
    <row r="58" spans="1:12" ht="12.75">
      <c r="A58">
        <f t="shared" si="0"/>
        <v>48</v>
      </c>
      <c r="B58" s="16"/>
      <c r="C58" s="17"/>
      <c r="D58" s="17"/>
      <c r="E58" s="29"/>
      <c r="F58" s="63"/>
      <c r="G58" s="18"/>
      <c r="H58" s="18"/>
      <c r="I58" s="18"/>
      <c r="J58" s="18"/>
      <c r="K58" s="18"/>
      <c r="L58" s="19"/>
    </row>
    <row r="59" spans="1:12" ht="12.75">
      <c r="A59">
        <f t="shared" si="0"/>
        <v>49</v>
      </c>
      <c r="B59" s="16"/>
      <c r="C59" s="17"/>
      <c r="D59" s="17" t="s">
        <v>29</v>
      </c>
      <c r="E59" s="29"/>
      <c r="F59" s="66">
        <f>+IF(F43=0,+SUM(F45:F57),+F43)</f>
        <v>262500</v>
      </c>
      <c r="G59" s="66">
        <f aca="true" t="shared" si="29" ref="G59:L59">+IF(G43=0,+SUM(G45:G57),+G43)</f>
        <v>273937.5</v>
      </c>
      <c r="H59" s="66">
        <f t="shared" si="29"/>
        <v>285375</v>
      </c>
      <c r="I59" s="66">
        <f t="shared" si="29"/>
        <v>296812.5</v>
      </c>
      <c r="J59" s="66">
        <f t="shared" si="29"/>
        <v>308250</v>
      </c>
      <c r="K59" s="66">
        <f t="shared" si="29"/>
        <v>319687.5</v>
      </c>
      <c r="L59" s="66">
        <f t="shared" si="29"/>
        <v>331125</v>
      </c>
    </row>
    <row r="60" spans="2:12" ht="12.75">
      <c r="B60" s="7"/>
      <c r="C60" s="8"/>
      <c r="D60" s="8"/>
      <c r="E60" s="9"/>
      <c r="F60" s="7"/>
      <c r="G60" s="8"/>
      <c r="H60" s="8"/>
      <c r="I60" s="8"/>
      <c r="J60" s="8"/>
      <c r="K60" s="8"/>
      <c r="L60" s="9"/>
    </row>
    <row r="62" spans="6:12" ht="12.75">
      <c r="F62">
        <f>+IF(SUM(F45:F57)=F43,0,1)</f>
        <v>1</v>
      </c>
      <c r="G62">
        <f aca="true" t="shared" si="30" ref="G62:L62">+IF(SUM(G45:G57)=G43,0,1)</f>
        <v>1</v>
      </c>
      <c r="H62">
        <f t="shared" si="30"/>
        <v>1</v>
      </c>
      <c r="I62">
        <f t="shared" si="30"/>
        <v>1</v>
      </c>
      <c r="J62">
        <f t="shared" si="30"/>
        <v>1</v>
      </c>
      <c r="K62">
        <f t="shared" si="30"/>
        <v>1</v>
      </c>
      <c r="L62">
        <f t="shared" si="30"/>
        <v>1</v>
      </c>
    </row>
    <row r="63" spans="6:12" ht="12.75">
      <c r="F63">
        <f aca="true" t="shared" si="31" ref="F63:L63">+IF(SUM(F20:F34)=F18,0,1)</f>
        <v>1</v>
      </c>
      <c r="G63">
        <f t="shared" si="31"/>
        <v>1</v>
      </c>
      <c r="H63">
        <f t="shared" si="31"/>
        <v>1</v>
      </c>
      <c r="I63">
        <f t="shared" si="31"/>
        <v>1</v>
      </c>
      <c r="J63">
        <f t="shared" si="31"/>
        <v>1</v>
      </c>
      <c r="K63">
        <f t="shared" si="31"/>
        <v>1</v>
      </c>
      <c r="L63">
        <f t="shared" si="31"/>
        <v>1</v>
      </c>
    </row>
    <row r="65" spans="2:12" ht="12.75"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3"/>
    </row>
    <row r="66" spans="2:12" ht="15.75">
      <c r="B66" s="181" t="s">
        <v>15</v>
      </c>
      <c r="C66" s="182"/>
      <c r="D66" s="182"/>
      <c r="E66" s="182"/>
      <c r="F66" s="182"/>
      <c r="G66" s="182"/>
      <c r="H66" s="182"/>
      <c r="I66" s="182"/>
      <c r="J66" s="182"/>
      <c r="K66" s="182"/>
      <c r="L66" s="183"/>
    </row>
    <row r="67" spans="2:12" ht="12.75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6"/>
    </row>
    <row r="68" spans="2:12" ht="12.75">
      <c r="B68" s="10"/>
      <c r="C68" s="11"/>
      <c r="D68" s="11"/>
      <c r="E68" s="12"/>
      <c r="F68" s="11"/>
      <c r="G68" s="11"/>
      <c r="H68" s="11"/>
      <c r="I68" s="11"/>
      <c r="J68" s="11"/>
      <c r="K68" s="11"/>
      <c r="L68" s="12"/>
    </row>
    <row r="69" spans="1:12" ht="12.75">
      <c r="A69">
        <v>1</v>
      </c>
      <c r="B69" s="20" t="str">
        <f>IF(SUM(F124:L125)&gt;0,"Data Incorrectly Entered"," ")</f>
        <v>Data Incorrectly Entered</v>
      </c>
      <c r="C69" s="21"/>
      <c r="D69" s="21"/>
      <c r="E69" s="28"/>
      <c r="F69" s="22">
        <v>2001</v>
      </c>
      <c r="G69" s="22">
        <v>2002</v>
      </c>
      <c r="H69" s="22">
        <v>2003</v>
      </c>
      <c r="I69" s="22">
        <v>2004</v>
      </c>
      <c r="J69" s="22">
        <v>2005</v>
      </c>
      <c r="K69" s="22">
        <v>2006</v>
      </c>
      <c r="L69" s="23">
        <v>2007</v>
      </c>
    </row>
    <row r="70" spans="1:12" ht="12.75">
      <c r="A70">
        <f>+A69+1</f>
        <v>2</v>
      </c>
      <c r="B70" s="13"/>
      <c r="C70" s="14"/>
      <c r="D70" s="14"/>
      <c r="E70" s="15"/>
      <c r="F70" s="14"/>
      <c r="G70" s="14"/>
      <c r="H70" s="14"/>
      <c r="I70" s="14"/>
      <c r="J70" s="14"/>
      <c r="K70" s="14"/>
      <c r="L70" s="15"/>
    </row>
    <row r="71" spans="1:12" ht="12.75">
      <c r="A71">
        <f aca="true" t="shared" si="32" ref="A71:A96">+A70+1</f>
        <v>3</v>
      </c>
      <c r="B71" s="1"/>
      <c r="C71" s="2"/>
      <c r="D71" s="2"/>
      <c r="E71" s="3"/>
      <c r="F71" s="1"/>
      <c r="G71" s="2"/>
      <c r="H71" s="2"/>
      <c r="I71" s="2"/>
      <c r="J71" s="2"/>
      <c r="K71" s="2"/>
      <c r="L71" s="3"/>
    </row>
    <row r="72" spans="1:16" ht="12.75">
      <c r="A72">
        <f t="shared" si="32"/>
        <v>4</v>
      </c>
      <c r="B72" s="16" t="s">
        <v>0</v>
      </c>
      <c r="C72" s="17"/>
      <c r="D72" s="17" t="s">
        <v>1</v>
      </c>
      <c r="E72" s="29"/>
      <c r="F72" s="62"/>
      <c r="G72" s="24"/>
      <c r="H72" s="24"/>
      <c r="I72" s="24"/>
      <c r="J72" s="24"/>
      <c r="K72" s="24"/>
      <c r="L72" s="25"/>
      <c r="M72" s="47"/>
      <c r="N72" s="47"/>
      <c r="O72" s="47"/>
      <c r="P72" s="47"/>
    </row>
    <row r="73" spans="1:16" ht="12.75">
      <c r="A73">
        <f t="shared" si="32"/>
        <v>5</v>
      </c>
      <c r="B73" s="16"/>
      <c r="C73" s="17"/>
      <c r="D73" s="17"/>
      <c r="E73" s="29"/>
      <c r="F73" s="63"/>
      <c r="G73" s="18"/>
      <c r="H73" s="18"/>
      <c r="I73" s="18"/>
      <c r="J73" s="18"/>
      <c r="K73" s="18"/>
      <c r="L73" s="19"/>
      <c r="M73" s="47"/>
      <c r="N73" s="47"/>
      <c r="O73" s="47"/>
      <c r="P73" s="47"/>
    </row>
    <row r="74" spans="1:16" ht="12.75">
      <c r="A74">
        <f t="shared" si="32"/>
        <v>6</v>
      </c>
      <c r="B74" s="16"/>
      <c r="C74" s="17" t="s">
        <v>5</v>
      </c>
      <c r="D74" s="17" t="s">
        <v>21</v>
      </c>
      <c r="E74" s="29"/>
      <c r="F74" s="64">
        <f>+F20*120*365/1000000/1000</f>
        <v>4.38</v>
      </c>
      <c r="G74" s="60">
        <f aca="true" t="shared" si="33" ref="G74:L74">+G20*120*365/1000000/1000</f>
        <v>4.599</v>
      </c>
      <c r="H74" s="60">
        <f t="shared" si="33"/>
        <v>4.818</v>
      </c>
      <c r="I74" s="60">
        <f t="shared" si="33"/>
        <v>5.037</v>
      </c>
      <c r="J74" s="60">
        <f t="shared" si="33"/>
        <v>5.256</v>
      </c>
      <c r="K74" s="60">
        <f t="shared" si="33"/>
        <v>5.475</v>
      </c>
      <c r="L74" s="65">
        <f t="shared" si="33"/>
        <v>5.694</v>
      </c>
      <c r="M74" s="47"/>
      <c r="N74" s="128"/>
      <c r="O74" s="47"/>
      <c r="P74" s="47"/>
    </row>
    <row r="75" spans="1:16" ht="12.75">
      <c r="A75">
        <f t="shared" si="32"/>
        <v>7</v>
      </c>
      <c r="B75" s="16"/>
      <c r="C75" s="17"/>
      <c r="D75" s="17" t="s">
        <v>2</v>
      </c>
      <c r="E75" s="29"/>
      <c r="F75" s="64">
        <f>+F21*150*365/1000000/1000</f>
        <v>0.5475</v>
      </c>
      <c r="G75" s="60">
        <f aca="true" t="shared" si="34" ref="G75:L75">+G21*150*365/1000000/1000</f>
        <v>0.60225</v>
      </c>
      <c r="H75" s="60">
        <f t="shared" si="34"/>
        <v>0.657</v>
      </c>
      <c r="I75" s="60">
        <f t="shared" si="34"/>
        <v>0.71175</v>
      </c>
      <c r="J75" s="60">
        <f t="shared" si="34"/>
        <v>0.7665</v>
      </c>
      <c r="K75" s="60">
        <f t="shared" si="34"/>
        <v>0.82125</v>
      </c>
      <c r="L75" s="65">
        <f t="shared" si="34"/>
        <v>0.876</v>
      </c>
      <c r="M75" s="47"/>
      <c r="N75" s="47"/>
      <c r="O75" s="47"/>
      <c r="P75" s="47"/>
    </row>
    <row r="76" spans="1:16" ht="12.75">
      <c r="A76">
        <f t="shared" si="32"/>
        <v>8</v>
      </c>
      <c r="B76" s="16"/>
      <c r="C76" s="17"/>
      <c r="D76" s="17" t="s">
        <v>3</v>
      </c>
      <c r="E76" s="29"/>
      <c r="F76" s="64">
        <f>+F22*135*365/1000000/1000</f>
        <v>0.9855</v>
      </c>
      <c r="G76" s="60">
        <f aca="true" t="shared" si="35" ref="G76:L76">+G22*135*365/1000000/1000</f>
        <v>1.0101375000000001</v>
      </c>
      <c r="H76" s="60">
        <f t="shared" si="35"/>
        <v>1.034775</v>
      </c>
      <c r="I76" s="60">
        <f t="shared" si="35"/>
        <v>1.0594124999999999</v>
      </c>
      <c r="J76" s="60">
        <f t="shared" si="35"/>
        <v>1.08405</v>
      </c>
      <c r="K76" s="60">
        <f t="shared" si="35"/>
        <v>1.1086875</v>
      </c>
      <c r="L76" s="65">
        <f t="shared" si="35"/>
        <v>1.1333250000000001</v>
      </c>
      <c r="M76" s="47"/>
      <c r="N76" s="47"/>
      <c r="O76" s="47"/>
      <c r="P76" s="47"/>
    </row>
    <row r="77" spans="1:16" ht="12.75">
      <c r="A77">
        <f t="shared" si="32"/>
        <v>9</v>
      </c>
      <c r="B77" s="16"/>
      <c r="C77" s="17"/>
      <c r="D77" s="17" t="s">
        <v>4</v>
      </c>
      <c r="E77" s="29"/>
      <c r="F77" s="64">
        <f>+F23*125*365/1000000/1000</f>
        <v>1.140625</v>
      </c>
      <c r="G77" s="60">
        <f aca="true" t="shared" si="36" ref="G77:L77">+G23*125*365/1000000/1000</f>
        <v>1.1634375</v>
      </c>
      <c r="H77" s="60">
        <f t="shared" si="36"/>
        <v>1.18625</v>
      </c>
      <c r="I77" s="60">
        <f t="shared" si="36"/>
        <v>1.2090625</v>
      </c>
      <c r="J77" s="60">
        <f t="shared" si="36"/>
        <v>1.231875</v>
      </c>
      <c r="K77" s="60">
        <f t="shared" si="36"/>
        <v>1.2546875</v>
      </c>
      <c r="L77" s="65">
        <f t="shared" si="36"/>
        <v>1.2775</v>
      </c>
      <c r="M77" s="47"/>
      <c r="N77" s="47"/>
      <c r="O77" s="47"/>
      <c r="P77" s="47"/>
    </row>
    <row r="78" spans="1:16" ht="12.75">
      <c r="A78">
        <f t="shared" si="32"/>
        <v>10</v>
      </c>
      <c r="B78" s="16"/>
      <c r="C78" s="17"/>
      <c r="D78" s="17" t="s">
        <v>6</v>
      </c>
      <c r="E78" s="29"/>
      <c r="F78" s="64">
        <f>+F24*80*365/1000000/1000</f>
        <v>0.146</v>
      </c>
      <c r="G78" s="60">
        <f aca="true" t="shared" si="37" ref="G78:L78">+G24*80*365/1000000/1000</f>
        <v>0.15330000000000002</v>
      </c>
      <c r="H78" s="60">
        <f t="shared" si="37"/>
        <v>0.1606</v>
      </c>
      <c r="I78" s="60">
        <f t="shared" si="37"/>
        <v>0.1679</v>
      </c>
      <c r="J78" s="60">
        <f t="shared" si="37"/>
        <v>0.1752</v>
      </c>
      <c r="K78" s="60">
        <f t="shared" si="37"/>
        <v>0.1825</v>
      </c>
      <c r="L78" s="65">
        <f t="shared" si="37"/>
        <v>0.18980000000000002</v>
      </c>
      <c r="M78" s="47"/>
      <c r="N78" s="47"/>
      <c r="O78" s="47"/>
      <c r="P78" s="47"/>
    </row>
    <row r="79" spans="1:16" ht="12.75">
      <c r="A79">
        <f t="shared" si="32"/>
        <v>11</v>
      </c>
      <c r="B79" s="16"/>
      <c r="C79" s="17"/>
      <c r="D79" s="17" t="s">
        <v>7</v>
      </c>
      <c r="E79" s="29"/>
      <c r="F79" s="64">
        <f>+F25*50*365/1000000/1000</f>
        <v>0.27375</v>
      </c>
      <c r="G79" s="60">
        <f aca="true" t="shared" si="38" ref="G79:L79">+G25*50*365/1000000/1000</f>
        <v>0.28059375</v>
      </c>
      <c r="H79" s="60">
        <f t="shared" si="38"/>
        <v>0.2874375</v>
      </c>
      <c r="I79" s="60">
        <f t="shared" si="38"/>
        <v>0.29428125</v>
      </c>
      <c r="J79" s="60">
        <f t="shared" si="38"/>
        <v>0.301125</v>
      </c>
      <c r="K79" s="60">
        <f t="shared" si="38"/>
        <v>0.30796875</v>
      </c>
      <c r="L79" s="65">
        <f t="shared" si="38"/>
        <v>0.3148125</v>
      </c>
      <c r="M79" s="47"/>
      <c r="N79" s="47"/>
      <c r="O79" s="47"/>
      <c r="P79" s="47"/>
    </row>
    <row r="80" spans="1:12" ht="12.75">
      <c r="A80">
        <f t="shared" si="32"/>
        <v>12</v>
      </c>
      <c r="B80" s="16"/>
      <c r="C80" s="17"/>
      <c r="D80" s="17"/>
      <c r="E80" s="29"/>
      <c r="F80" s="63"/>
      <c r="G80" s="18"/>
      <c r="H80" s="18"/>
      <c r="I80" s="18"/>
      <c r="J80" s="18"/>
      <c r="K80" s="18"/>
      <c r="L80" s="19"/>
    </row>
    <row r="81" spans="1:12" ht="12.75">
      <c r="A81">
        <f t="shared" si="32"/>
        <v>13</v>
      </c>
      <c r="B81" s="16"/>
      <c r="C81" s="17" t="s">
        <v>8</v>
      </c>
      <c r="D81" s="17" t="s">
        <v>21</v>
      </c>
      <c r="E81" s="29"/>
      <c r="F81" s="64">
        <f>+F29*200*365/1000000/1000</f>
        <v>7.3</v>
      </c>
      <c r="G81" s="60">
        <f aca="true" t="shared" si="39" ref="G81:L81">+G29*200*365/1000000/1000</f>
        <v>7.665</v>
      </c>
      <c r="H81" s="60">
        <f t="shared" si="39"/>
        <v>8.03</v>
      </c>
      <c r="I81" s="60">
        <f t="shared" si="39"/>
        <v>8.395</v>
      </c>
      <c r="J81" s="60">
        <f t="shared" si="39"/>
        <v>8.76</v>
      </c>
      <c r="K81" s="60">
        <f t="shared" si="39"/>
        <v>9.125</v>
      </c>
      <c r="L81" s="65">
        <f t="shared" si="39"/>
        <v>9.49</v>
      </c>
    </row>
    <row r="82" spans="1:12" ht="12.75">
      <c r="A82">
        <f t="shared" si="32"/>
        <v>14</v>
      </c>
      <c r="B82" s="16"/>
      <c r="C82" s="17"/>
      <c r="D82" s="17" t="s">
        <v>2</v>
      </c>
      <c r="E82" s="29"/>
      <c r="F82" s="64">
        <f>+F30*250*365/1000000/1000</f>
        <v>0.9125</v>
      </c>
      <c r="G82" s="60">
        <f aca="true" t="shared" si="40" ref="G82:L82">+G30*250*365/1000000/1000</f>
        <v>1.00375</v>
      </c>
      <c r="H82" s="60">
        <f t="shared" si="40"/>
        <v>1.095</v>
      </c>
      <c r="I82" s="60">
        <f t="shared" si="40"/>
        <v>1.18625</v>
      </c>
      <c r="J82" s="60">
        <f t="shared" si="40"/>
        <v>1.2775</v>
      </c>
      <c r="K82" s="60">
        <f t="shared" si="40"/>
        <v>1.36875</v>
      </c>
      <c r="L82" s="65">
        <f t="shared" si="40"/>
        <v>1.46</v>
      </c>
    </row>
    <row r="83" spans="1:12" ht="12.75">
      <c r="A83">
        <f t="shared" si="32"/>
        <v>15</v>
      </c>
      <c r="B83" s="16"/>
      <c r="C83" s="17"/>
      <c r="D83" s="17" t="s">
        <v>3</v>
      </c>
      <c r="E83" s="29"/>
      <c r="F83" s="64">
        <f>+F31*175*365/1000000/1000</f>
        <v>1.2775</v>
      </c>
      <c r="G83" s="60">
        <f aca="true" t="shared" si="41" ref="G83:L83">+G31*175*365/1000000/1000</f>
        <v>1.3094375</v>
      </c>
      <c r="H83" s="60">
        <f t="shared" si="41"/>
        <v>1.341375</v>
      </c>
      <c r="I83" s="60">
        <f t="shared" si="41"/>
        <v>1.3733125</v>
      </c>
      <c r="J83" s="60">
        <f t="shared" si="41"/>
        <v>1.40525</v>
      </c>
      <c r="K83" s="60">
        <f t="shared" si="41"/>
        <v>1.4371875</v>
      </c>
      <c r="L83" s="65">
        <f t="shared" si="41"/>
        <v>1.469125</v>
      </c>
    </row>
    <row r="84" spans="1:12" ht="12.75">
      <c r="A84">
        <f t="shared" si="32"/>
        <v>16</v>
      </c>
      <c r="B84" s="16"/>
      <c r="C84" s="17"/>
      <c r="D84" s="17" t="s">
        <v>4</v>
      </c>
      <c r="E84" s="29"/>
      <c r="F84" s="64">
        <f>+F32*195*365/1000000/1000</f>
        <v>1.779375</v>
      </c>
      <c r="G84" s="60">
        <f aca="true" t="shared" si="42" ref="G84:L84">+G32*195*365/1000000/1000</f>
        <v>1.8149625</v>
      </c>
      <c r="H84" s="60">
        <f t="shared" si="42"/>
        <v>1.85055</v>
      </c>
      <c r="I84" s="60">
        <f t="shared" si="42"/>
        <v>1.8861375</v>
      </c>
      <c r="J84" s="60">
        <f t="shared" si="42"/>
        <v>1.921725</v>
      </c>
      <c r="K84" s="60">
        <f t="shared" si="42"/>
        <v>1.9573125</v>
      </c>
      <c r="L84" s="65">
        <f t="shared" si="42"/>
        <v>1.9929000000000001</v>
      </c>
    </row>
    <row r="85" spans="1:12" ht="12.75">
      <c r="A85">
        <f t="shared" si="32"/>
        <v>17</v>
      </c>
      <c r="B85" s="16"/>
      <c r="C85" s="17"/>
      <c r="D85" s="17" t="s">
        <v>6</v>
      </c>
      <c r="E85" s="29"/>
      <c r="F85" s="64">
        <f>+F33*70*365/1000000/1000</f>
        <v>0.12775</v>
      </c>
      <c r="G85" s="60">
        <f aca="true" t="shared" si="43" ref="G85:L85">+G33*70*365/1000000/1000</f>
        <v>0.1341375</v>
      </c>
      <c r="H85" s="60">
        <f t="shared" si="43"/>
        <v>0.140525</v>
      </c>
      <c r="I85" s="60">
        <f t="shared" si="43"/>
        <v>0.1469125</v>
      </c>
      <c r="J85" s="60">
        <f t="shared" si="43"/>
        <v>0.15330000000000002</v>
      </c>
      <c r="K85" s="60">
        <f t="shared" si="43"/>
        <v>0.1596875</v>
      </c>
      <c r="L85" s="65">
        <f t="shared" si="43"/>
        <v>0.166075</v>
      </c>
    </row>
    <row r="86" spans="1:12" ht="12.75">
      <c r="A86">
        <f t="shared" si="32"/>
        <v>18</v>
      </c>
      <c r="B86" s="16"/>
      <c r="C86" s="17"/>
      <c r="D86" s="17" t="s">
        <v>7</v>
      </c>
      <c r="E86" s="29"/>
      <c r="F86" s="64">
        <f>+F34*60*365/1000000/1000</f>
        <v>0.3285</v>
      </c>
      <c r="G86" s="60">
        <f aca="true" t="shared" si="44" ref="G86:L86">+G34*60*365/1000000/1000</f>
        <v>0.33671249999999997</v>
      </c>
      <c r="H86" s="60">
        <f t="shared" si="44"/>
        <v>0.34492500000000004</v>
      </c>
      <c r="I86" s="60">
        <f t="shared" si="44"/>
        <v>0.3531375</v>
      </c>
      <c r="J86" s="60">
        <f t="shared" si="44"/>
        <v>0.36135</v>
      </c>
      <c r="K86" s="60">
        <f t="shared" si="44"/>
        <v>0.3695625</v>
      </c>
      <c r="L86" s="65">
        <f t="shared" si="44"/>
        <v>0.37777499999999997</v>
      </c>
    </row>
    <row r="87" spans="1:12" ht="12.75">
      <c r="A87">
        <f t="shared" si="32"/>
        <v>19</v>
      </c>
      <c r="B87" s="16"/>
      <c r="C87" s="17"/>
      <c r="D87" s="17"/>
      <c r="E87" s="29"/>
      <c r="F87" s="127"/>
      <c r="G87" s="128"/>
      <c r="H87" s="128"/>
      <c r="I87" s="128"/>
      <c r="J87" s="128"/>
      <c r="K87" s="128"/>
      <c r="L87" s="129"/>
    </row>
    <row r="88" spans="1:12" ht="12.75">
      <c r="A88">
        <f t="shared" si="32"/>
        <v>20</v>
      </c>
      <c r="B88" s="16"/>
      <c r="C88" s="17"/>
      <c r="D88" s="17"/>
      <c r="E88" s="29"/>
      <c r="F88" s="127">
        <f>IF(F72&gt;0,+F72,+SUM(F74:F86))</f>
        <v>19.198999999999998</v>
      </c>
      <c r="G88" s="127">
        <f aca="true" t="shared" si="45" ref="G88:L88">IF(G72&gt;0,+G72,+SUM(G74:G86))</f>
        <v>20.072718750000003</v>
      </c>
      <c r="H88" s="127">
        <f t="shared" si="45"/>
        <v>20.946437499999995</v>
      </c>
      <c r="I88" s="127">
        <f t="shared" si="45"/>
        <v>21.82015625</v>
      </c>
      <c r="J88" s="127">
        <f t="shared" si="45"/>
        <v>22.693875000000002</v>
      </c>
      <c r="K88" s="127">
        <f t="shared" si="45"/>
        <v>23.56759375</v>
      </c>
      <c r="L88" s="136">
        <f t="shared" si="45"/>
        <v>24.441312500000002</v>
      </c>
    </row>
    <row r="89" spans="1:12" ht="12.75">
      <c r="A89">
        <f t="shared" si="32"/>
        <v>21</v>
      </c>
      <c r="B89" s="16"/>
      <c r="C89" s="17"/>
      <c r="D89" s="17"/>
      <c r="E89" s="29"/>
      <c r="F89" s="127"/>
      <c r="G89" s="128"/>
      <c r="H89" s="128"/>
      <c r="I89" s="128"/>
      <c r="J89" s="128"/>
      <c r="K89" s="128"/>
      <c r="L89" s="129"/>
    </row>
    <row r="90" spans="1:12" ht="12.75">
      <c r="A90">
        <f t="shared" si="32"/>
        <v>22</v>
      </c>
      <c r="B90" s="16"/>
      <c r="C90" s="17"/>
      <c r="D90" s="17"/>
      <c r="E90" s="29"/>
      <c r="F90" s="127"/>
      <c r="G90" s="128"/>
      <c r="H90" s="128"/>
      <c r="I90" s="128"/>
      <c r="J90" s="128"/>
      <c r="K90" s="128"/>
      <c r="L90" s="129"/>
    </row>
    <row r="91" spans="1:12" ht="12.75">
      <c r="A91">
        <f t="shared" si="32"/>
        <v>23</v>
      </c>
      <c r="B91" s="16"/>
      <c r="C91" s="17"/>
      <c r="D91" s="17"/>
      <c r="E91" s="29"/>
      <c r="F91" s="63"/>
      <c r="G91" s="18"/>
      <c r="H91" s="18"/>
      <c r="I91" s="18"/>
      <c r="J91" s="18"/>
      <c r="K91" s="18"/>
      <c r="L91" s="19"/>
    </row>
    <row r="92" spans="1:12" ht="12.75">
      <c r="A92">
        <f t="shared" si="32"/>
        <v>24</v>
      </c>
      <c r="B92" s="16" t="s">
        <v>9</v>
      </c>
      <c r="C92" s="17"/>
      <c r="D92" s="17"/>
      <c r="E92" s="29"/>
      <c r="F92" s="62">
        <v>1</v>
      </c>
      <c r="G92" s="24">
        <v>2</v>
      </c>
      <c r="H92" s="24">
        <v>3</v>
      </c>
      <c r="I92" s="24">
        <v>4</v>
      </c>
      <c r="J92" s="24">
        <v>5</v>
      </c>
      <c r="K92" s="24">
        <v>6</v>
      </c>
      <c r="L92" s="25">
        <v>7</v>
      </c>
    </row>
    <row r="93" spans="1:12" ht="12.75">
      <c r="A93">
        <f t="shared" si="32"/>
        <v>25</v>
      </c>
      <c r="B93" s="16" t="s">
        <v>10</v>
      </c>
      <c r="C93" s="17"/>
      <c r="D93" s="17"/>
      <c r="E93" s="29"/>
      <c r="F93" s="62">
        <v>2</v>
      </c>
      <c r="G93" s="24">
        <v>3</v>
      </c>
      <c r="H93" s="24">
        <v>4</v>
      </c>
      <c r="I93" s="24">
        <v>5</v>
      </c>
      <c r="J93" s="24">
        <v>6</v>
      </c>
      <c r="K93" s="24">
        <v>7</v>
      </c>
      <c r="L93" s="25">
        <v>8</v>
      </c>
    </row>
    <row r="94" spans="1:12" ht="12.75">
      <c r="A94">
        <f t="shared" si="32"/>
        <v>26</v>
      </c>
      <c r="B94" s="16" t="s">
        <v>11</v>
      </c>
      <c r="C94" s="17"/>
      <c r="D94" s="17"/>
      <c r="E94" s="29"/>
      <c r="F94" s="62">
        <v>1</v>
      </c>
      <c r="G94" s="24">
        <v>2</v>
      </c>
      <c r="H94" s="24">
        <v>3</v>
      </c>
      <c r="I94" s="24">
        <v>4</v>
      </c>
      <c r="J94" s="24">
        <v>5</v>
      </c>
      <c r="K94" s="24">
        <v>6</v>
      </c>
      <c r="L94" s="25">
        <v>7</v>
      </c>
    </row>
    <row r="95" spans="1:12" ht="12.75">
      <c r="A95">
        <f t="shared" si="32"/>
        <v>27</v>
      </c>
      <c r="B95" s="16"/>
      <c r="C95" s="17"/>
      <c r="D95" s="17"/>
      <c r="E95" s="29"/>
      <c r="F95" s="63"/>
      <c r="G95" s="18"/>
      <c r="H95" s="18"/>
      <c r="I95" s="18"/>
      <c r="J95" s="18"/>
      <c r="K95" s="18"/>
      <c r="L95" s="19"/>
    </row>
    <row r="96" spans="1:12" ht="12.75">
      <c r="A96">
        <f t="shared" si="32"/>
        <v>28</v>
      </c>
      <c r="B96" s="16" t="s">
        <v>1</v>
      </c>
      <c r="C96" s="17"/>
      <c r="D96" s="17"/>
      <c r="E96" s="29"/>
      <c r="F96" s="134">
        <f aca="true" t="shared" si="46" ref="F96:L96">+SUM(F88:F94)</f>
        <v>23.198999999999998</v>
      </c>
      <c r="G96" s="135">
        <f t="shared" si="46"/>
        <v>27.072718750000003</v>
      </c>
      <c r="H96" s="135">
        <f t="shared" si="46"/>
        <v>30.946437499999995</v>
      </c>
      <c r="I96" s="135">
        <f t="shared" si="46"/>
        <v>34.82015625</v>
      </c>
      <c r="J96" s="135">
        <f t="shared" si="46"/>
        <v>38.693875000000006</v>
      </c>
      <c r="K96" s="135">
        <f t="shared" si="46"/>
        <v>42.56759375</v>
      </c>
      <c r="L96" s="137">
        <f t="shared" si="46"/>
        <v>46.4413125</v>
      </c>
    </row>
    <row r="97" spans="2:12" ht="12.75">
      <c r="B97" s="16"/>
      <c r="C97" s="17"/>
      <c r="D97" s="17"/>
      <c r="E97" s="29"/>
      <c r="F97" s="66"/>
      <c r="G97" s="26"/>
      <c r="H97" s="26"/>
      <c r="I97" s="26"/>
      <c r="J97" s="26"/>
      <c r="K97" s="26"/>
      <c r="L97" s="27"/>
    </row>
    <row r="98" spans="2:12" ht="12.75">
      <c r="B98" s="16"/>
      <c r="C98" s="17"/>
      <c r="D98" s="17"/>
      <c r="E98" s="29"/>
      <c r="F98" s="66"/>
      <c r="G98" s="26"/>
      <c r="H98" s="26"/>
      <c r="I98" s="26"/>
      <c r="J98" s="26"/>
      <c r="K98" s="26"/>
      <c r="L98" s="27"/>
    </row>
    <row r="99" spans="2:12" ht="12.75">
      <c r="B99" s="7"/>
      <c r="C99" s="8"/>
      <c r="D99" s="8"/>
      <c r="E99" s="9"/>
      <c r="F99" s="7"/>
      <c r="G99" s="8"/>
      <c r="H99" s="8"/>
      <c r="I99" s="8"/>
      <c r="J99" s="8"/>
      <c r="K99" s="8"/>
      <c r="L99" s="9"/>
    </row>
    <row r="101" spans="6:12" ht="12.75">
      <c r="F101">
        <f aca="true" t="shared" si="47" ref="F101:L101">+IF(SUM(F92:F94,F72)=F96,0,1)</f>
        <v>1</v>
      </c>
      <c r="G101">
        <f t="shared" si="47"/>
        <v>1</v>
      </c>
      <c r="H101">
        <f t="shared" si="47"/>
        <v>1</v>
      </c>
      <c r="I101">
        <f t="shared" si="47"/>
        <v>1</v>
      </c>
      <c r="J101">
        <f t="shared" si="47"/>
        <v>1</v>
      </c>
      <c r="K101">
        <f t="shared" si="47"/>
        <v>1</v>
      </c>
      <c r="L101">
        <f t="shared" si="47"/>
        <v>1</v>
      </c>
    </row>
    <row r="102" spans="6:12" ht="12.75">
      <c r="F102">
        <f>+IF(SUM(F74:F86)=F72,0,1)</f>
        <v>1</v>
      </c>
      <c r="G102">
        <f aca="true" t="shared" si="48" ref="G102:L102">+IF(SUM(G74:G86)=G72,0,1)</f>
        <v>1</v>
      </c>
      <c r="H102">
        <f t="shared" si="48"/>
        <v>1</v>
      </c>
      <c r="I102">
        <f t="shared" si="48"/>
        <v>1</v>
      </c>
      <c r="J102">
        <f t="shared" si="48"/>
        <v>1</v>
      </c>
      <c r="K102">
        <f t="shared" si="48"/>
        <v>1</v>
      </c>
      <c r="L102">
        <f t="shared" si="48"/>
        <v>1</v>
      </c>
    </row>
    <row r="104" spans="2:12" ht="12.75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3"/>
    </row>
    <row r="105" spans="2:12" ht="15.75">
      <c r="B105" s="181" t="s">
        <v>59</v>
      </c>
      <c r="C105" s="182"/>
      <c r="D105" s="182"/>
      <c r="E105" s="182"/>
      <c r="F105" s="182"/>
      <c r="G105" s="182"/>
      <c r="H105" s="182"/>
      <c r="I105" s="182"/>
      <c r="J105" s="182"/>
      <c r="K105" s="182"/>
      <c r="L105" s="183"/>
    </row>
    <row r="106" spans="2:12" ht="12.75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6"/>
    </row>
    <row r="107" spans="2:12" ht="12.75">
      <c r="B107" s="10"/>
      <c r="C107" s="11"/>
      <c r="D107" s="11"/>
      <c r="E107" s="12"/>
      <c r="F107" s="11"/>
      <c r="G107" s="11"/>
      <c r="H107" s="11"/>
      <c r="I107" s="11"/>
      <c r="J107" s="11"/>
      <c r="K107" s="11"/>
      <c r="L107" s="12"/>
    </row>
    <row r="108" spans="1:12" ht="12.75">
      <c r="A108">
        <v>1</v>
      </c>
      <c r="B108" s="20"/>
      <c r="C108" s="21"/>
      <c r="D108" s="21"/>
      <c r="E108" s="28"/>
      <c r="F108" s="22">
        <v>2001</v>
      </c>
      <c r="G108" s="22">
        <v>2002</v>
      </c>
      <c r="H108" s="22">
        <v>2003</v>
      </c>
      <c r="I108" s="22">
        <v>2004</v>
      </c>
      <c r="J108" s="22">
        <v>2005</v>
      </c>
      <c r="K108" s="22">
        <v>2006</v>
      </c>
      <c r="L108" s="23">
        <v>2007</v>
      </c>
    </row>
    <row r="109" spans="1:12" ht="12.75">
      <c r="A109">
        <f>+A108+1</f>
        <v>2</v>
      </c>
      <c r="B109" s="13"/>
      <c r="C109" s="14"/>
      <c r="D109" s="14"/>
      <c r="E109" s="15"/>
      <c r="F109" s="14"/>
      <c r="G109" s="14"/>
      <c r="H109" s="14"/>
      <c r="I109" s="14"/>
      <c r="J109" s="14"/>
      <c r="K109" s="14"/>
      <c r="L109" s="15"/>
    </row>
    <row r="110" spans="1:12" ht="12.75">
      <c r="A110">
        <f>+A109+1</f>
        <v>3</v>
      </c>
      <c r="B110" s="1"/>
      <c r="C110" s="2"/>
      <c r="D110" s="2"/>
      <c r="E110" s="3"/>
      <c r="F110" s="2"/>
      <c r="G110" s="2"/>
      <c r="H110" s="2"/>
      <c r="I110" s="2"/>
      <c r="J110" s="2"/>
      <c r="K110" s="2"/>
      <c r="L110" s="3"/>
    </row>
    <row r="111" spans="1:12" ht="12.75">
      <c r="A111">
        <f>+A110+1</f>
        <v>4</v>
      </c>
      <c r="B111" s="4" t="s">
        <v>60</v>
      </c>
      <c r="C111" s="5"/>
      <c r="D111" s="5"/>
      <c r="E111" s="6"/>
      <c r="F111" s="150">
        <v>30</v>
      </c>
      <c r="G111" s="150">
        <v>35</v>
      </c>
      <c r="H111" s="150">
        <v>38</v>
      </c>
      <c r="I111" s="150">
        <v>40</v>
      </c>
      <c r="J111" s="150">
        <v>43</v>
      </c>
      <c r="K111" s="150">
        <v>48</v>
      </c>
      <c r="L111" s="151">
        <v>54</v>
      </c>
    </row>
    <row r="112" spans="2:12" ht="12.75">
      <c r="B112" s="7"/>
      <c r="C112" s="8"/>
      <c r="D112" s="8"/>
      <c r="E112" s="9"/>
      <c r="F112" s="8"/>
      <c r="G112" s="8"/>
      <c r="H112" s="8"/>
      <c r="I112" s="8"/>
      <c r="J112" s="8"/>
      <c r="K112" s="8"/>
      <c r="L112" s="9"/>
    </row>
    <row r="115" spans="2:12" ht="12.75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3"/>
    </row>
    <row r="116" spans="2:12" ht="15.75">
      <c r="B116" s="181" t="s">
        <v>16</v>
      </c>
      <c r="C116" s="182"/>
      <c r="D116" s="182"/>
      <c r="E116" s="182"/>
      <c r="F116" s="182"/>
      <c r="G116" s="182"/>
      <c r="H116" s="182"/>
      <c r="I116" s="182"/>
      <c r="J116" s="182"/>
      <c r="K116" s="182"/>
      <c r="L116" s="183"/>
    </row>
    <row r="117" spans="2:12" ht="12.75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6"/>
    </row>
    <row r="118" spans="2:12" ht="12.75">
      <c r="B118" s="10"/>
      <c r="C118" s="11"/>
      <c r="D118" s="11"/>
      <c r="E118" s="12"/>
      <c r="F118" s="11"/>
      <c r="G118" s="11"/>
      <c r="H118" s="11"/>
      <c r="I118" s="11"/>
      <c r="J118" s="11"/>
      <c r="K118" s="11"/>
      <c r="L118" s="12"/>
    </row>
    <row r="119" spans="2:12" ht="12.75">
      <c r="B119" s="20" t="str">
        <f>IF(SUM(F162:L168)&gt;0,"Data Incorrectly Entered"," ")</f>
        <v>Data Incorrectly Entered</v>
      </c>
      <c r="C119" s="21"/>
      <c r="D119" s="21"/>
      <c r="E119" s="28"/>
      <c r="F119" s="22">
        <v>2001</v>
      </c>
      <c r="G119" s="22">
        <v>2002</v>
      </c>
      <c r="H119" s="22">
        <v>2003</v>
      </c>
      <c r="I119" s="22">
        <v>2004</v>
      </c>
      <c r="J119" s="22">
        <v>2005</v>
      </c>
      <c r="K119" s="22">
        <v>2006</v>
      </c>
      <c r="L119" s="23">
        <v>2007</v>
      </c>
    </row>
    <row r="120" spans="2:12" ht="12.75">
      <c r="B120" s="13"/>
      <c r="C120" s="14"/>
      <c r="D120" s="14"/>
      <c r="E120" s="15"/>
      <c r="F120" s="14"/>
      <c r="G120" s="14"/>
      <c r="H120" s="14"/>
      <c r="I120" s="14"/>
      <c r="J120" s="14"/>
      <c r="K120" s="14"/>
      <c r="L120" s="15"/>
    </row>
    <row r="121" spans="2:12" ht="12.75">
      <c r="B121" s="1"/>
      <c r="C121" s="2"/>
      <c r="D121" s="2"/>
      <c r="E121" s="2"/>
      <c r="F121" s="1"/>
      <c r="G121" s="2"/>
      <c r="H121" s="2"/>
      <c r="I121" s="2"/>
      <c r="J121" s="2"/>
      <c r="K121" s="2"/>
      <c r="L121" s="3"/>
    </row>
    <row r="122" spans="2:12" ht="12.75">
      <c r="B122" s="16" t="s">
        <v>0</v>
      </c>
      <c r="C122" s="17"/>
      <c r="D122" s="17" t="s">
        <v>1</v>
      </c>
      <c r="E122" s="17"/>
      <c r="F122" s="62"/>
      <c r="G122" s="24"/>
      <c r="H122" s="24"/>
      <c r="I122" s="24"/>
      <c r="J122" s="24"/>
      <c r="K122" s="24"/>
      <c r="L122" s="25"/>
    </row>
    <row r="123" spans="2:12" ht="12.75">
      <c r="B123" s="16"/>
      <c r="C123" s="17"/>
      <c r="D123" s="17"/>
      <c r="E123" s="17"/>
      <c r="F123" s="63"/>
      <c r="G123" s="18"/>
      <c r="H123" s="18"/>
      <c r="I123" s="18"/>
      <c r="J123" s="18"/>
      <c r="K123" s="18"/>
      <c r="L123" s="19"/>
    </row>
    <row r="124" spans="2:12" ht="12.75">
      <c r="B124" s="16"/>
      <c r="C124" s="17" t="s">
        <v>5</v>
      </c>
      <c r="D124" s="17" t="s">
        <v>36</v>
      </c>
      <c r="E124" s="17"/>
      <c r="F124" s="62">
        <v>2</v>
      </c>
      <c r="G124" s="24">
        <v>2</v>
      </c>
      <c r="H124" s="24">
        <v>2</v>
      </c>
      <c r="I124" s="24">
        <v>2</v>
      </c>
      <c r="J124" s="24">
        <v>2</v>
      </c>
      <c r="K124" s="24">
        <v>2</v>
      </c>
      <c r="L124" s="25">
        <v>2</v>
      </c>
    </row>
    <row r="125" spans="2:12" ht="12.75">
      <c r="B125" s="16"/>
      <c r="C125" s="17"/>
      <c r="D125" s="17" t="s">
        <v>2</v>
      </c>
      <c r="E125" s="17"/>
      <c r="F125" s="62"/>
      <c r="G125" s="24"/>
      <c r="H125" s="24"/>
      <c r="I125" s="24"/>
      <c r="J125" s="24"/>
      <c r="K125" s="24"/>
      <c r="L125" s="25">
        <v>48</v>
      </c>
    </row>
    <row r="126" spans="2:12" ht="12.75">
      <c r="B126" s="16"/>
      <c r="C126" s="17"/>
      <c r="D126" s="17" t="s">
        <v>3</v>
      </c>
      <c r="E126" s="17"/>
      <c r="F126" s="62"/>
      <c r="G126" s="24"/>
      <c r="H126" s="24"/>
      <c r="I126" s="24"/>
      <c r="J126" s="24"/>
      <c r="K126" s="24"/>
      <c r="L126" s="25"/>
    </row>
    <row r="127" spans="2:12" ht="12.75">
      <c r="B127" s="16"/>
      <c r="C127" s="17"/>
      <c r="D127" s="17" t="s">
        <v>4</v>
      </c>
      <c r="E127" s="17"/>
      <c r="F127" s="62"/>
      <c r="G127" s="24"/>
      <c r="H127" s="24"/>
      <c r="I127" s="24"/>
      <c r="J127" s="24"/>
      <c r="K127" s="24"/>
      <c r="L127" s="25"/>
    </row>
    <row r="128" spans="2:12" ht="12.75">
      <c r="B128" s="16"/>
      <c r="C128" s="17"/>
      <c r="D128" s="17" t="s">
        <v>6</v>
      </c>
      <c r="E128" s="17"/>
      <c r="F128" s="62"/>
      <c r="G128" s="24"/>
      <c r="H128" s="24"/>
      <c r="I128" s="24"/>
      <c r="J128" s="24"/>
      <c r="K128" s="24"/>
      <c r="L128" s="25"/>
    </row>
    <row r="129" spans="2:12" ht="12.75">
      <c r="B129" s="16"/>
      <c r="C129" s="17"/>
      <c r="D129" s="17" t="s">
        <v>7</v>
      </c>
      <c r="E129" s="17"/>
      <c r="F129" s="62"/>
      <c r="G129" s="24"/>
      <c r="H129" s="24"/>
      <c r="I129" s="24"/>
      <c r="J129" s="24"/>
      <c r="K129" s="24"/>
      <c r="L129" s="25"/>
    </row>
    <row r="130" spans="2:12" ht="12.75">
      <c r="B130" s="16"/>
      <c r="C130" s="17"/>
      <c r="D130" s="17"/>
      <c r="E130" s="17"/>
      <c r="F130" s="63"/>
      <c r="G130" s="18"/>
      <c r="H130" s="18"/>
      <c r="I130" s="18"/>
      <c r="J130" s="18"/>
      <c r="K130" s="18"/>
      <c r="L130" s="19"/>
    </row>
    <row r="131" spans="2:12" ht="12.75">
      <c r="B131" s="16"/>
      <c r="C131" s="17" t="s">
        <v>8</v>
      </c>
      <c r="D131" s="17" t="s">
        <v>21</v>
      </c>
      <c r="E131" s="17"/>
      <c r="F131" s="62"/>
      <c r="G131" s="24"/>
      <c r="H131" s="24"/>
      <c r="I131" s="24"/>
      <c r="J131" s="24"/>
      <c r="K131" s="24"/>
      <c r="L131" s="25"/>
    </row>
    <row r="132" spans="2:12" ht="12.75">
      <c r="B132" s="16"/>
      <c r="C132" s="17"/>
      <c r="D132" s="17" t="s">
        <v>2</v>
      </c>
      <c r="E132" s="17"/>
      <c r="F132" s="62"/>
      <c r="G132" s="24"/>
      <c r="H132" s="24"/>
      <c r="I132" s="24"/>
      <c r="J132" s="24"/>
      <c r="K132" s="24"/>
      <c r="L132" s="25"/>
    </row>
    <row r="133" spans="2:12" ht="12.75">
      <c r="B133" s="16"/>
      <c r="C133" s="17"/>
      <c r="D133" s="17" t="s">
        <v>3</v>
      </c>
      <c r="E133" s="17"/>
      <c r="F133" s="62"/>
      <c r="G133" s="24"/>
      <c r="H133" s="24"/>
      <c r="I133" s="24"/>
      <c r="J133" s="24"/>
      <c r="K133" s="24"/>
      <c r="L133" s="25"/>
    </row>
    <row r="134" spans="2:12" ht="12.75">
      <c r="B134" s="16"/>
      <c r="C134" s="17"/>
      <c r="D134" s="17" t="s">
        <v>4</v>
      </c>
      <c r="E134" s="17"/>
      <c r="F134" s="62"/>
      <c r="G134" s="24"/>
      <c r="H134" s="24"/>
      <c r="I134" s="24"/>
      <c r="J134" s="24"/>
      <c r="K134" s="24"/>
      <c r="L134" s="25"/>
    </row>
    <row r="135" spans="2:12" ht="12.75">
      <c r="B135" s="16"/>
      <c r="C135" s="17"/>
      <c r="D135" s="17" t="s">
        <v>6</v>
      </c>
      <c r="E135" s="17"/>
      <c r="F135" s="62"/>
      <c r="G135" s="24"/>
      <c r="H135" s="24"/>
      <c r="I135" s="24"/>
      <c r="J135" s="24"/>
      <c r="K135" s="24"/>
      <c r="L135" s="25"/>
    </row>
    <row r="136" spans="2:12" ht="12.75">
      <c r="B136" s="16"/>
      <c r="C136" s="17"/>
      <c r="D136" s="17" t="s">
        <v>7</v>
      </c>
      <c r="E136" s="17"/>
      <c r="F136" s="62"/>
      <c r="G136" s="24"/>
      <c r="H136" s="24"/>
      <c r="I136" s="24"/>
      <c r="J136" s="24"/>
      <c r="K136" s="24"/>
      <c r="L136" s="25"/>
    </row>
    <row r="137" spans="2:12" ht="12.75">
      <c r="B137" s="16"/>
      <c r="C137" s="17"/>
      <c r="D137" s="17"/>
      <c r="E137" s="17"/>
      <c r="F137" s="66"/>
      <c r="G137" s="26"/>
      <c r="H137" s="26"/>
      <c r="I137" s="26"/>
      <c r="J137" s="26"/>
      <c r="K137" s="26"/>
      <c r="L137" s="27"/>
    </row>
    <row r="138" spans="2:12" ht="12.75">
      <c r="B138" s="16"/>
      <c r="C138" s="17"/>
      <c r="D138" s="17" t="s">
        <v>29</v>
      </c>
      <c r="E138" s="17"/>
      <c r="F138" s="66">
        <f>+SUM(F124:F136)</f>
        <v>2</v>
      </c>
      <c r="G138" s="26">
        <f aca="true" t="shared" si="49" ref="G138:L138">+SUM(G124:G136)</f>
        <v>2</v>
      </c>
      <c r="H138" s="26">
        <f t="shared" si="49"/>
        <v>2</v>
      </c>
      <c r="I138" s="26">
        <f t="shared" si="49"/>
        <v>2</v>
      </c>
      <c r="J138" s="26">
        <f t="shared" si="49"/>
        <v>2</v>
      </c>
      <c r="K138" s="26">
        <f t="shared" si="49"/>
        <v>2</v>
      </c>
      <c r="L138" s="27">
        <f t="shared" si="49"/>
        <v>50</v>
      </c>
    </row>
    <row r="139" spans="2:12" ht="12.75">
      <c r="B139" s="16"/>
      <c r="C139" s="17"/>
      <c r="D139" s="17"/>
      <c r="E139" s="17"/>
      <c r="F139" s="63"/>
      <c r="G139" s="18"/>
      <c r="H139" s="18"/>
      <c r="I139" s="18"/>
      <c r="J139" s="18"/>
      <c r="K139" s="18"/>
      <c r="L139" s="19"/>
    </row>
    <row r="140" spans="2:12" ht="12.75">
      <c r="B140" s="16" t="s">
        <v>9</v>
      </c>
      <c r="C140" s="17"/>
      <c r="D140" s="17"/>
      <c r="E140" s="17"/>
      <c r="F140" s="62"/>
      <c r="G140" s="24"/>
      <c r="H140" s="24"/>
      <c r="I140" s="24"/>
      <c r="J140" s="24"/>
      <c r="K140" s="24"/>
      <c r="L140" s="25"/>
    </row>
    <row r="141" spans="2:12" ht="12.75">
      <c r="B141" s="16" t="s">
        <v>10</v>
      </c>
      <c r="C141" s="17"/>
      <c r="D141" s="17"/>
      <c r="E141" s="17"/>
      <c r="F141" s="62"/>
      <c r="G141" s="24"/>
      <c r="H141" s="24"/>
      <c r="I141" s="24"/>
      <c r="J141" s="24"/>
      <c r="K141" s="24"/>
      <c r="L141" s="25"/>
    </row>
    <row r="142" spans="2:12" ht="12.75">
      <c r="B142" s="16" t="s">
        <v>11</v>
      </c>
      <c r="C142" s="17"/>
      <c r="D142" s="17"/>
      <c r="E142" s="17"/>
      <c r="F142" s="62"/>
      <c r="G142" s="24"/>
      <c r="H142" s="24"/>
      <c r="I142" s="24"/>
      <c r="J142" s="24"/>
      <c r="K142" s="24"/>
      <c r="L142" s="25"/>
    </row>
    <row r="143" spans="2:12" ht="12.75">
      <c r="B143" s="16"/>
      <c r="C143" s="17"/>
      <c r="D143" s="17"/>
      <c r="E143" s="17"/>
      <c r="F143" s="63"/>
      <c r="G143" s="18"/>
      <c r="H143" s="18"/>
      <c r="I143" s="18"/>
      <c r="J143" s="18"/>
      <c r="K143" s="18"/>
      <c r="L143" s="19"/>
    </row>
    <row r="144" spans="2:12" ht="12.75">
      <c r="B144" s="16" t="s">
        <v>1</v>
      </c>
      <c r="C144" s="17"/>
      <c r="D144" s="17"/>
      <c r="E144" s="17"/>
      <c r="F144" s="66">
        <f>+SUM(F138:F142)</f>
        <v>2</v>
      </c>
      <c r="G144" s="26">
        <f aca="true" t="shared" si="50" ref="G144:L144">+SUM(G138:G142)</f>
        <v>2</v>
      </c>
      <c r="H144" s="26">
        <f t="shared" si="50"/>
        <v>2</v>
      </c>
      <c r="I144" s="26">
        <f t="shared" si="50"/>
        <v>2</v>
      </c>
      <c r="J144" s="26">
        <f t="shared" si="50"/>
        <v>2</v>
      </c>
      <c r="K144" s="26">
        <f t="shared" si="50"/>
        <v>2</v>
      </c>
      <c r="L144" s="27">
        <f t="shared" si="50"/>
        <v>50</v>
      </c>
    </row>
    <row r="145" spans="2:12" ht="12.75">
      <c r="B145" s="16"/>
      <c r="C145" s="17"/>
      <c r="D145" s="17"/>
      <c r="E145" s="17"/>
      <c r="F145" s="66"/>
      <c r="G145" s="26"/>
      <c r="H145" s="26"/>
      <c r="I145" s="26"/>
      <c r="J145" s="26"/>
      <c r="K145" s="26"/>
      <c r="L145" s="27"/>
    </row>
    <row r="146" spans="2:12" ht="12.75">
      <c r="B146" s="16"/>
      <c r="C146" s="17"/>
      <c r="D146" s="17"/>
      <c r="E146" s="17"/>
      <c r="F146" s="66"/>
      <c r="G146" s="26"/>
      <c r="H146" s="26"/>
      <c r="I146" s="26"/>
      <c r="J146" s="26"/>
      <c r="K146" s="26"/>
      <c r="L146" s="27"/>
    </row>
    <row r="147" spans="2:12" ht="12.75">
      <c r="B147" s="7"/>
      <c r="C147" s="8"/>
      <c r="D147" s="8"/>
      <c r="E147" s="8"/>
      <c r="F147" s="7"/>
      <c r="G147" s="8"/>
      <c r="H147" s="8"/>
      <c r="I147" s="8"/>
      <c r="J147" s="8"/>
      <c r="K147" s="8"/>
      <c r="L147" s="9"/>
    </row>
    <row r="149" spans="6:12" ht="12.75">
      <c r="F149">
        <f aca="true" t="shared" si="51" ref="F149:L149">+IF(SUM(F140:F142,F122)=F144,0,1)</f>
        <v>1</v>
      </c>
      <c r="G149">
        <f t="shared" si="51"/>
        <v>1</v>
      </c>
      <c r="H149">
        <f t="shared" si="51"/>
        <v>1</v>
      </c>
      <c r="I149">
        <f t="shared" si="51"/>
        <v>1</v>
      </c>
      <c r="J149">
        <f t="shared" si="51"/>
        <v>1</v>
      </c>
      <c r="K149">
        <f t="shared" si="51"/>
        <v>1</v>
      </c>
      <c r="L149">
        <f t="shared" si="51"/>
        <v>1</v>
      </c>
    </row>
    <row r="150" spans="6:12" ht="12.75">
      <c r="F150">
        <f>+IF(SUM(F124:F136)=F122,0,1)</f>
        <v>1</v>
      </c>
      <c r="G150">
        <f aca="true" t="shared" si="52" ref="G150:L150">+IF(SUM(G124:G136)=G122,0,1)</f>
        <v>1</v>
      </c>
      <c r="H150">
        <f t="shared" si="52"/>
        <v>1</v>
      </c>
      <c r="I150">
        <f t="shared" si="52"/>
        <v>1</v>
      </c>
      <c r="J150">
        <f t="shared" si="52"/>
        <v>1</v>
      </c>
      <c r="K150">
        <f t="shared" si="52"/>
        <v>1</v>
      </c>
      <c r="L150">
        <f t="shared" si="52"/>
        <v>1</v>
      </c>
    </row>
    <row r="153" spans="2:12" ht="12.75">
      <c r="B153" s="31"/>
      <c r="C153" s="32"/>
      <c r="D153" s="32"/>
      <c r="E153" s="32"/>
      <c r="F153" s="32"/>
      <c r="G153" s="32"/>
      <c r="H153" s="32"/>
      <c r="I153" s="32"/>
      <c r="J153" s="32"/>
      <c r="K153" s="32"/>
      <c r="L153" s="33"/>
    </row>
    <row r="154" spans="2:12" ht="15.75">
      <c r="B154" s="181" t="s">
        <v>70</v>
      </c>
      <c r="C154" s="182"/>
      <c r="D154" s="182"/>
      <c r="E154" s="182"/>
      <c r="F154" s="182"/>
      <c r="G154" s="182"/>
      <c r="H154" s="182"/>
      <c r="I154" s="182"/>
      <c r="J154" s="182"/>
      <c r="K154" s="182"/>
      <c r="L154" s="183"/>
    </row>
    <row r="155" spans="2:12" ht="12.75">
      <c r="B155" s="34"/>
      <c r="C155" s="35"/>
      <c r="D155" s="35"/>
      <c r="E155" s="35"/>
      <c r="F155" s="35"/>
      <c r="G155" s="35"/>
      <c r="H155" s="35"/>
      <c r="I155" s="35"/>
      <c r="J155" s="35"/>
      <c r="K155" s="35"/>
      <c r="L155" s="36"/>
    </row>
    <row r="156" spans="2:12" ht="12.75">
      <c r="B156" s="10"/>
      <c r="C156" s="11"/>
      <c r="D156" s="11"/>
      <c r="E156" s="12"/>
      <c r="F156" s="11"/>
      <c r="G156" s="11"/>
      <c r="H156" s="11"/>
      <c r="I156" s="11"/>
      <c r="J156" s="11"/>
      <c r="K156" s="11"/>
      <c r="L156" s="12"/>
    </row>
    <row r="157" spans="1:12" ht="12.75">
      <c r="A157">
        <v>1</v>
      </c>
      <c r="B157" s="20" t="str">
        <f>IF(SUM(F197:L198)&gt;0,"Data Incorrectly Entered"," ")</f>
        <v> </v>
      </c>
      <c r="C157" s="21"/>
      <c r="D157" s="21"/>
      <c r="E157" s="28"/>
      <c r="F157" s="22">
        <v>2001</v>
      </c>
      <c r="G157" s="22">
        <v>2002</v>
      </c>
      <c r="H157" s="22">
        <v>2003</v>
      </c>
      <c r="I157" s="22">
        <v>2004</v>
      </c>
      <c r="J157" s="22">
        <v>2005</v>
      </c>
      <c r="K157" s="22">
        <v>2006</v>
      </c>
      <c r="L157" s="23">
        <v>2007</v>
      </c>
    </row>
    <row r="158" spans="1:12" ht="12.75">
      <c r="A158">
        <f aca="true" t="shared" si="53" ref="A158:A166">+A157+1</f>
        <v>2</v>
      </c>
      <c r="B158" s="13"/>
      <c r="C158" s="14"/>
      <c r="D158" s="14"/>
      <c r="E158" s="15"/>
      <c r="F158" s="14"/>
      <c r="G158" s="14"/>
      <c r="H158" s="14"/>
      <c r="I158" s="14"/>
      <c r="J158" s="14"/>
      <c r="K158" s="14"/>
      <c r="L158" s="15"/>
    </row>
    <row r="159" spans="1:12" ht="12.75">
      <c r="A159">
        <f t="shared" si="53"/>
        <v>3</v>
      </c>
      <c r="B159" s="1"/>
      <c r="C159" s="2"/>
      <c r="D159" s="2"/>
      <c r="E159" s="3"/>
      <c r="F159" s="1"/>
      <c r="G159" s="2"/>
      <c r="H159" s="2"/>
      <c r="I159" s="2"/>
      <c r="J159" s="2"/>
      <c r="K159" s="2"/>
      <c r="L159" s="3"/>
    </row>
    <row r="160" spans="1:12" ht="12.75">
      <c r="A160">
        <f t="shared" si="53"/>
        <v>4</v>
      </c>
      <c r="B160" s="4" t="s">
        <v>0</v>
      </c>
      <c r="C160" s="5"/>
      <c r="D160" s="5"/>
      <c r="E160" s="6"/>
      <c r="F160" s="154"/>
      <c r="G160" s="140"/>
      <c r="H160" s="140"/>
      <c r="I160" s="140"/>
      <c r="J160" s="140"/>
      <c r="K160" s="140"/>
      <c r="L160" s="155">
        <v>50</v>
      </c>
    </row>
    <row r="161" spans="1:12" ht="12.75">
      <c r="A161">
        <f t="shared" si="53"/>
        <v>5</v>
      </c>
      <c r="B161" s="4" t="s">
        <v>71</v>
      </c>
      <c r="C161" s="5"/>
      <c r="D161" s="5"/>
      <c r="E161" s="6"/>
      <c r="F161" s="154"/>
      <c r="G161" s="140"/>
      <c r="H161" s="140"/>
      <c r="I161" s="140"/>
      <c r="J161" s="140"/>
      <c r="K161" s="140"/>
      <c r="L161" s="155"/>
    </row>
    <row r="162" spans="1:12" ht="12.75">
      <c r="A162">
        <f t="shared" si="53"/>
        <v>6</v>
      </c>
      <c r="B162" s="4" t="s">
        <v>51</v>
      </c>
      <c r="C162" s="5"/>
      <c r="D162" s="5"/>
      <c r="E162" s="6"/>
      <c r="F162" s="154"/>
      <c r="G162" s="140"/>
      <c r="H162" s="140"/>
      <c r="I162" s="140"/>
      <c r="J162" s="140"/>
      <c r="K162" s="140"/>
      <c r="L162" s="155"/>
    </row>
    <row r="163" spans="1:13" ht="12.75">
      <c r="A163">
        <f t="shared" si="53"/>
        <v>7</v>
      </c>
      <c r="B163" s="4"/>
      <c r="C163" s="5"/>
      <c r="D163" s="5"/>
      <c r="E163" s="6"/>
      <c r="F163" s="164"/>
      <c r="G163" s="46"/>
      <c r="H163" s="46"/>
      <c r="I163" s="46"/>
      <c r="J163" s="46"/>
      <c r="K163" s="46"/>
      <c r="L163" s="165"/>
      <c r="M163" s="47"/>
    </row>
    <row r="164" spans="1:13" ht="12.75">
      <c r="A164">
        <f t="shared" si="53"/>
        <v>8</v>
      </c>
      <c r="B164" s="4" t="s">
        <v>1</v>
      </c>
      <c r="C164" s="5"/>
      <c r="D164" s="5"/>
      <c r="E164" s="6"/>
      <c r="F164" s="164">
        <f>+SUM(F160:F162)</f>
        <v>0</v>
      </c>
      <c r="G164" s="164">
        <f aca="true" t="shared" si="54" ref="G164:L164">+SUM(G160:G162)</f>
        <v>0</v>
      </c>
      <c r="H164" s="164">
        <f t="shared" si="54"/>
        <v>0</v>
      </c>
      <c r="I164" s="164">
        <f t="shared" si="54"/>
        <v>0</v>
      </c>
      <c r="J164" s="164">
        <f t="shared" si="54"/>
        <v>0</v>
      </c>
      <c r="K164" s="164">
        <f t="shared" si="54"/>
        <v>0</v>
      </c>
      <c r="L164" s="166">
        <f t="shared" si="54"/>
        <v>50</v>
      </c>
      <c r="M164" s="47"/>
    </row>
    <row r="165" spans="1:13" ht="12.75">
      <c r="A165">
        <f t="shared" si="53"/>
        <v>9</v>
      </c>
      <c r="B165" s="4"/>
      <c r="C165" s="5"/>
      <c r="D165" s="5"/>
      <c r="E165" s="6"/>
      <c r="F165" s="164"/>
      <c r="G165" s="46"/>
      <c r="H165" s="46"/>
      <c r="I165" s="46"/>
      <c r="J165" s="46"/>
      <c r="K165" s="46"/>
      <c r="L165" s="165"/>
      <c r="M165" s="47"/>
    </row>
    <row r="166" spans="1:13" ht="12.75">
      <c r="A166">
        <f t="shared" si="53"/>
        <v>10</v>
      </c>
      <c r="B166" s="4" t="s">
        <v>88</v>
      </c>
      <c r="C166" s="5"/>
      <c r="D166" s="5"/>
      <c r="E166" s="6"/>
      <c r="F166" s="154"/>
      <c r="G166" s="140"/>
      <c r="H166" s="140"/>
      <c r="I166" s="140"/>
      <c r="J166" s="140"/>
      <c r="K166" s="140"/>
      <c r="L166" s="155"/>
      <c r="M166" s="47"/>
    </row>
    <row r="167" spans="2:13" ht="12.75">
      <c r="B167" s="4"/>
      <c r="C167" s="5"/>
      <c r="D167" s="5"/>
      <c r="E167" s="6"/>
      <c r="F167" s="164"/>
      <c r="G167" s="46"/>
      <c r="H167" s="46"/>
      <c r="I167" s="46"/>
      <c r="J167" s="46"/>
      <c r="K167" s="46"/>
      <c r="L167" s="165"/>
      <c r="M167" s="47"/>
    </row>
    <row r="168" spans="2:12" ht="12.75">
      <c r="B168" s="7"/>
      <c r="C168" s="8"/>
      <c r="D168" s="8"/>
      <c r="E168" s="9"/>
      <c r="F168" s="7"/>
      <c r="G168" s="8"/>
      <c r="H168" s="8"/>
      <c r="I168" s="8"/>
      <c r="J168" s="8"/>
      <c r="K168" s="8"/>
      <c r="L168" s="9"/>
    </row>
    <row r="171" spans="2:12" ht="12.75">
      <c r="B171" s="31"/>
      <c r="C171" s="32"/>
      <c r="D171" s="32"/>
      <c r="E171" s="32"/>
      <c r="F171" s="32"/>
      <c r="G171" s="32"/>
      <c r="H171" s="32"/>
      <c r="I171" s="32"/>
      <c r="J171" s="32"/>
      <c r="K171" s="32"/>
      <c r="L171" s="33"/>
    </row>
    <row r="172" spans="2:12" ht="15.75">
      <c r="B172" s="181" t="s">
        <v>90</v>
      </c>
      <c r="C172" s="182"/>
      <c r="D172" s="182"/>
      <c r="E172" s="182"/>
      <c r="F172" s="182"/>
      <c r="G172" s="182"/>
      <c r="H172" s="182"/>
      <c r="I172" s="182"/>
      <c r="J172" s="182"/>
      <c r="K172" s="182"/>
      <c r="L172" s="183"/>
    </row>
    <row r="173" spans="2:12" ht="12.75">
      <c r="B173" s="34"/>
      <c r="C173" s="35"/>
      <c r="D173" s="35"/>
      <c r="E173" s="35"/>
      <c r="F173" s="35"/>
      <c r="G173" s="35"/>
      <c r="H173" s="35"/>
      <c r="I173" s="35"/>
      <c r="J173" s="35"/>
      <c r="K173" s="35"/>
      <c r="L173" s="36"/>
    </row>
    <row r="174" spans="2:12" ht="12.75">
      <c r="B174" s="10"/>
      <c r="C174" s="11"/>
      <c r="D174" s="11"/>
      <c r="E174" s="12"/>
      <c r="F174" s="11"/>
      <c r="G174" s="11"/>
      <c r="H174" s="11"/>
      <c r="I174" s="11"/>
      <c r="J174" s="11"/>
      <c r="K174" s="11"/>
      <c r="L174" s="12"/>
    </row>
    <row r="175" spans="2:12" ht="12.75">
      <c r="B175" s="20" t="str">
        <f>IF(SUM(F210:L211)&gt;0,"Data Incorrectly Entered"," ")</f>
        <v> </v>
      </c>
      <c r="C175" s="21"/>
      <c r="D175" s="21"/>
      <c r="E175" s="28"/>
      <c r="F175" s="22">
        <v>2001</v>
      </c>
      <c r="G175" s="22">
        <v>2002</v>
      </c>
      <c r="H175" s="22">
        <v>2003</v>
      </c>
      <c r="I175" s="22">
        <v>2004</v>
      </c>
      <c r="J175" s="22">
        <v>2005</v>
      </c>
      <c r="K175" s="22">
        <v>2006</v>
      </c>
      <c r="L175" s="23">
        <v>2007</v>
      </c>
    </row>
    <row r="176" spans="2:12" ht="12.75">
      <c r="B176" s="13"/>
      <c r="C176" s="14"/>
      <c r="D176" s="14"/>
      <c r="E176" s="15"/>
      <c r="F176" s="14"/>
      <c r="G176" s="14"/>
      <c r="H176" s="14"/>
      <c r="I176" s="14"/>
      <c r="J176" s="14"/>
      <c r="K176" s="14"/>
      <c r="L176" s="15"/>
    </row>
    <row r="177" spans="2:12" ht="12.75">
      <c r="B177" s="1"/>
      <c r="C177" s="2"/>
      <c r="D177" s="2"/>
      <c r="E177" s="3"/>
      <c r="F177" s="1"/>
      <c r="G177" s="2"/>
      <c r="H177" s="2"/>
      <c r="I177" s="2"/>
      <c r="J177" s="2"/>
      <c r="K177" s="2"/>
      <c r="L177" s="3"/>
    </row>
    <row r="178" spans="2:12" ht="12.75">
      <c r="B178" s="4" t="s">
        <v>85</v>
      </c>
      <c r="C178" s="5"/>
      <c r="D178" s="5"/>
      <c r="E178" s="6"/>
      <c r="F178" s="154"/>
      <c r="G178" s="140"/>
      <c r="H178" s="140"/>
      <c r="I178" s="140"/>
      <c r="J178" s="140"/>
      <c r="K178" s="140"/>
      <c r="L178" s="155">
        <v>150</v>
      </c>
    </row>
    <row r="179" spans="2:12" ht="12.75">
      <c r="B179" s="7"/>
      <c r="C179" s="8"/>
      <c r="D179" s="8"/>
      <c r="E179" s="9"/>
      <c r="F179" s="7"/>
      <c r="G179" s="8"/>
      <c r="H179" s="8"/>
      <c r="I179" s="8"/>
      <c r="J179" s="8"/>
      <c r="K179" s="8"/>
      <c r="L179" s="9"/>
    </row>
  </sheetData>
  <mergeCells count="6">
    <mergeCell ref="B172:L172"/>
    <mergeCell ref="B154:L154"/>
    <mergeCell ref="B66:L66"/>
    <mergeCell ref="B8:L8"/>
    <mergeCell ref="B116:L116"/>
    <mergeCell ref="B105:L10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217"/>
  <sheetViews>
    <sheetView tabSelected="1" workbookViewId="0" topLeftCell="A31">
      <selection activeCell="G226" sqref="G226"/>
    </sheetView>
  </sheetViews>
  <sheetFormatPr defaultColWidth="9.140625" defaultRowHeight="12.75"/>
  <cols>
    <col min="2" max="2" width="10.8515625" style="0" customWidth="1"/>
    <col min="4" max="4" width="11.57421875" style="0" customWidth="1"/>
    <col min="5" max="5" width="14.7109375" style="0" customWidth="1"/>
    <col min="7" max="7" width="13.28125" style="0" customWidth="1"/>
    <col min="9" max="9" width="13.00390625" style="0" customWidth="1"/>
    <col min="10" max="10" width="13.421875" style="0" customWidth="1"/>
  </cols>
  <sheetData>
    <row r="2" spans="2:42" ht="12.75">
      <c r="B2" s="79"/>
      <c r="C2" s="80"/>
      <c r="D2" s="80"/>
      <c r="E2" s="81"/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1"/>
      <c r="AN2" s="81"/>
      <c r="AO2" s="81"/>
      <c r="AP2" s="81"/>
    </row>
    <row r="3" spans="2:42" ht="12.75">
      <c r="B3" s="82" t="s">
        <v>30</v>
      </c>
      <c r="C3" s="83"/>
      <c r="D3" s="83"/>
      <c r="E3" s="84"/>
      <c r="F3" s="82">
        <v>2004</v>
      </c>
      <c r="G3" s="83">
        <v>2005</v>
      </c>
      <c r="H3" s="83">
        <v>2006</v>
      </c>
      <c r="I3" s="83">
        <f>+'Input - Existing Situation'!G3+1</f>
        <v>2007</v>
      </c>
      <c r="J3" s="83">
        <f>+I3+1</f>
        <v>2008</v>
      </c>
      <c r="K3" s="83">
        <f aca="true" t="shared" si="0" ref="K3:AM3">+J3+1</f>
        <v>2009</v>
      </c>
      <c r="L3" s="83">
        <f t="shared" si="0"/>
        <v>2010</v>
      </c>
      <c r="M3" s="83">
        <f t="shared" si="0"/>
        <v>2011</v>
      </c>
      <c r="N3" s="83">
        <f t="shared" si="0"/>
        <v>2012</v>
      </c>
      <c r="O3" s="83">
        <f t="shared" si="0"/>
        <v>2013</v>
      </c>
      <c r="P3" s="83">
        <f t="shared" si="0"/>
        <v>2014</v>
      </c>
      <c r="Q3" s="83">
        <f t="shared" si="0"/>
        <v>2015</v>
      </c>
      <c r="R3" s="83">
        <f t="shared" si="0"/>
        <v>2016</v>
      </c>
      <c r="S3" s="83">
        <f t="shared" si="0"/>
        <v>2017</v>
      </c>
      <c r="T3" s="83">
        <f t="shared" si="0"/>
        <v>2018</v>
      </c>
      <c r="U3" s="83">
        <f t="shared" si="0"/>
        <v>2019</v>
      </c>
      <c r="V3" s="83">
        <f t="shared" si="0"/>
        <v>2020</v>
      </c>
      <c r="W3" s="83">
        <f t="shared" si="0"/>
        <v>2021</v>
      </c>
      <c r="X3" s="83">
        <f t="shared" si="0"/>
        <v>2022</v>
      </c>
      <c r="Y3" s="83">
        <f t="shared" si="0"/>
        <v>2023</v>
      </c>
      <c r="Z3" s="83">
        <f t="shared" si="0"/>
        <v>2024</v>
      </c>
      <c r="AA3" s="83">
        <f t="shared" si="0"/>
        <v>2025</v>
      </c>
      <c r="AB3" s="83">
        <f t="shared" si="0"/>
        <v>2026</v>
      </c>
      <c r="AC3" s="83">
        <f t="shared" si="0"/>
        <v>2027</v>
      </c>
      <c r="AD3" s="83">
        <f t="shared" si="0"/>
        <v>2028</v>
      </c>
      <c r="AE3" s="83">
        <f t="shared" si="0"/>
        <v>2029</v>
      </c>
      <c r="AF3" s="83">
        <f t="shared" si="0"/>
        <v>2030</v>
      </c>
      <c r="AG3" s="83">
        <f t="shared" si="0"/>
        <v>2031</v>
      </c>
      <c r="AH3" s="83">
        <f t="shared" si="0"/>
        <v>2032</v>
      </c>
      <c r="AI3" s="83">
        <f t="shared" si="0"/>
        <v>2033</v>
      </c>
      <c r="AJ3" s="83">
        <f t="shared" si="0"/>
        <v>2034</v>
      </c>
      <c r="AK3" s="83">
        <f t="shared" si="0"/>
        <v>2035</v>
      </c>
      <c r="AL3" s="83">
        <f t="shared" si="0"/>
        <v>2036</v>
      </c>
      <c r="AM3" s="84">
        <f t="shared" si="0"/>
        <v>2037</v>
      </c>
      <c r="AN3" s="84">
        <f>+AM3+1</f>
        <v>2038</v>
      </c>
      <c r="AO3" s="84">
        <f>+AN3+1</f>
        <v>2039</v>
      </c>
      <c r="AP3" s="84">
        <f>+AO3+1</f>
        <v>2040</v>
      </c>
    </row>
    <row r="4" spans="2:42" ht="12.75">
      <c r="B4" s="85"/>
      <c r="C4" s="86"/>
      <c r="D4" s="86"/>
      <c r="E4" s="87"/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7"/>
      <c r="AN4" s="87"/>
      <c r="AO4" s="87"/>
      <c r="AP4" s="87"/>
    </row>
    <row r="5" spans="2:42" ht="12.75">
      <c r="B5" s="1"/>
      <c r="C5" s="2"/>
      <c r="D5" s="2"/>
      <c r="E5" s="3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  <c r="AN5" s="3"/>
      <c r="AO5" s="3"/>
      <c r="AP5" s="3"/>
    </row>
    <row r="6" spans="2:42" ht="12.75">
      <c r="B6" s="4" t="s">
        <v>31</v>
      </c>
      <c r="C6" s="5"/>
      <c r="D6" s="5"/>
      <c r="E6" s="94" t="s">
        <v>23</v>
      </c>
      <c r="F6" s="131">
        <f>+('Input - Existing Situation'!I14-'Input - Existing Situation'!H14)/'Input - Existing Situation'!I14</f>
        <v>0.0049261083743842365</v>
      </c>
      <c r="G6" s="132">
        <f>+('Input - Existing Situation'!J14-'Input - Existing Situation'!I14)/'Input - Existing Situation'!J14</f>
        <v>0.004901960784313725</v>
      </c>
      <c r="H6" s="132">
        <f>+('Input - Existing Situation'!K14-'Input - Existing Situation'!J14)/'Input - Existing Situation'!K14</f>
        <v>0.004878048780487805</v>
      </c>
      <c r="I6" s="97">
        <v>0.01</v>
      </c>
      <c r="J6" s="97">
        <v>0.015</v>
      </c>
      <c r="K6" s="97">
        <v>0.015</v>
      </c>
      <c r="L6" s="97">
        <v>0.015</v>
      </c>
      <c r="M6" s="97">
        <v>0.015</v>
      </c>
      <c r="N6" s="97">
        <v>0.015</v>
      </c>
      <c r="O6" s="97">
        <v>0.015</v>
      </c>
      <c r="P6" s="97">
        <v>0.015</v>
      </c>
      <c r="Q6" s="97">
        <v>0.015</v>
      </c>
      <c r="R6" s="97">
        <v>0.015</v>
      </c>
      <c r="S6" s="97">
        <v>0.015</v>
      </c>
      <c r="T6" s="97">
        <v>0.015</v>
      </c>
      <c r="U6" s="97">
        <v>0.015</v>
      </c>
      <c r="V6" s="97">
        <v>0.015</v>
      </c>
      <c r="W6" s="97">
        <v>0.015</v>
      </c>
      <c r="X6" s="97">
        <v>0.015</v>
      </c>
      <c r="Y6" s="97">
        <v>0.015</v>
      </c>
      <c r="Z6" s="97">
        <v>0.015</v>
      </c>
      <c r="AA6" s="97">
        <v>0.015</v>
      </c>
      <c r="AB6" s="97">
        <v>0.015</v>
      </c>
      <c r="AC6" s="97">
        <v>0.015</v>
      </c>
      <c r="AD6" s="97">
        <v>0.015</v>
      </c>
      <c r="AE6" s="97">
        <v>0.015</v>
      </c>
      <c r="AF6" s="97">
        <v>0.015</v>
      </c>
      <c r="AG6" s="97">
        <v>0.015</v>
      </c>
      <c r="AH6" s="97">
        <v>0.015</v>
      </c>
      <c r="AI6" s="97">
        <v>0.015</v>
      </c>
      <c r="AJ6" s="97">
        <v>0.015</v>
      </c>
      <c r="AK6" s="97">
        <v>0.015</v>
      </c>
      <c r="AL6" s="97">
        <v>0.015</v>
      </c>
      <c r="AM6" s="97">
        <v>0.015</v>
      </c>
      <c r="AN6" s="97">
        <v>0.015</v>
      </c>
      <c r="AO6" s="97">
        <v>0.015</v>
      </c>
      <c r="AP6" s="133">
        <v>0.015</v>
      </c>
    </row>
    <row r="7" spans="2:42" ht="12.75">
      <c r="B7" s="4"/>
      <c r="C7" s="5"/>
      <c r="D7" s="5"/>
      <c r="E7" s="6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6"/>
    </row>
    <row r="8" spans="2:42" ht="12.75">
      <c r="B8" s="4" t="s">
        <v>32</v>
      </c>
      <c r="C8" s="5"/>
      <c r="D8" s="5"/>
      <c r="E8" s="95" t="str">
        <f>+E6</f>
        <v>% per annum</v>
      </c>
      <c r="F8" s="97">
        <v>0.01</v>
      </c>
      <c r="G8" s="97">
        <v>0.01</v>
      </c>
      <c r="H8" s="97">
        <v>0.01</v>
      </c>
      <c r="I8" s="97">
        <v>0.01</v>
      </c>
      <c r="J8" s="97">
        <v>0.015</v>
      </c>
      <c r="K8" s="97">
        <v>0.015</v>
      </c>
      <c r="L8" s="97">
        <v>0.015</v>
      </c>
      <c r="M8" s="97">
        <v>0.015</v>
      </c>
      <c r="N8" s="97">
        <v>0.015</v>
      </c>
      <c r="O8" s="97">
        <v>0.015</v>
      </c>
      <c r="P8" s="97">
        <v>0.015</v>
      </c>
      <c r="Q8" s="97">
        <v>0.015</v>
      </c>
      <c r="R8" s="97">
        <v>0.015</v>
      </c>
      <c r="S8" s="97">
        <v>0.015</v>
      </c>
      <c r="T8" s="97">
        <v>0.015</v>
      </c>
      <c r="U8" s="97">
        <v>0.015</v>
      </c>
      <c r="V8" s="97">
        <v>0.015</v>
      </c>
      <c r="W8" s="97">
        <v>0.015</v>
      </c>
      <c r="X8" s="97">
        <v>0.015</v>
      </c>
      <c r="Y8" s="97">
        <v>0.015</v>
      </c>
      <c r="Z8" s="97">
        <v>0.015</v>
      </c>
      <c r="AA8" s="97">
        <v>0.015</v>
      </c>
      <c r="AB8" s="97">
        <v>0.015</v>
      </c>
      <c r="AC8" s="97">
        <v>0.015</v>
      </c>
      <c r="AD8" s="97">
        <v>0.015</v>
      </c>
      <c r="AE8" s="97">
        <v>0.015</v>
      </c>
      <c r="AF8" s="97">
        <v>0.015</v>
      </c>
      <c r="AG8" s="97">
        <v>0.015</v>
      </c>
      <c r="AH8" s="97">
        <v>0.015</v>
      </c>
      <c r="AI8" s="97">
        <v>0.015</v>
      </c>
      <c r="AJ8" s="97">
        <v>0.015</v>
      </c>
      <c r="AK8" s="97">
        <v>0.015</v>
      </c>
      <c r="AL8" s="97">
        <v>0.015</v>
      </c>
      <c r="AM8" s="97">
        <v>0.015</v>
      </c>
      <c r="AN8" s="97">
        <v>0.015</v>
      </c>
      <c r="AO8" s="97">
        <v>0.015</v>
      </c>
      <c r="AP8" s="133">
        <v>0.015</v>
      </c>
    </row>
    <row r="9" spans="2:42" ht="12.75">
      <c r="B9" s="4"/>
      <c r="C9" s="5"/>
      <c r="D9" s="5"/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6"/>
    </row>
    <row r="10" spans="2:42" ht="12.75">
      <c r="B10" s="4" t="s">
        <v>33</v>
      </c>
      <c r="C10" s="5"/>
      <c r="D10" s="5"/>
      <c r="E10" s="95" t="str">
        <f>+E8</f>
        <v>% per annum</v>
      </c>
      <c r="F10" s="97">
        <v>0.01</v>
      </c>
      <c r="G10" s="97">
        <v>0.01</v>
      </c>
      <c r="H10" s="97">
        <v>0.01</v>
      </c>
      <c r="I10" s="97">
        <v>0.01</v>
      </c>
      <c r="J10" s="97">
        <v>0.015</v>
      </c>
      <c r="K10" s="97">
        <v>0.015</v>
      </c>
      <c r="L10" s="97">
        <v>0.015</v>
      </c>
      <c r="M10" s="97">
        <v>0.015</v>
      </c>
      <c r="N10" s="97">
        <v>0.015</v>
      </c>
      <c r="O10" s="97">
        <v>0.015</v>
      </c>
      <c r="P10" s="97">
        <v>0.015</v>
      </c>
      <c r="Q10" s="97">
        <v>0.015</v>
      </c>
      <c r="R10" s="97">
        <v>0.015</v>
      </c>
      <c r="S10" s="97">
        <v>0.015</v>
      </c>
      <c r="T10" s="97">
        <v>0.015</v>
      </c>
      <c r="U10" s="97">
        <v>0.015</v>
      </c>
      <c r="V10" s="97">
        <v>0.015</v>
      </c>
      <c r="W10" s="97">
        <v>0.015</v>
      </c>
      <c r="X10" s="97">
        <v>0.015</v>
      </c>
      <c r="Y10" s="97">
        <v>0.015</v>
      </c>
      <c r="Z10" s="97">
        <v>0.015</v>
      </c>
      <c r="AA10" s="97">
        <v>0.015</v>
      </c>
      <c r="AB10" s="97">
        <v>0.015</v>
      </c>
      <c r="AC10" s="97">
        <v>0.015</v>
      </c>
      <c r="AD10" s="97">
        <v>0.015</v>
      </c>
      <c r="AE10" s="97">
        <v>0.015</v>
      </c>
      <c r="AF10" s="97">
        <v>0.015</v>
      </c>
      <c r="AG10" s="97">
        <v>0.015</v>
      </c>
      <c r="AH10" s="97">
        <v>0.015</v>
      </c>
      <c r="AI10" s="97">
        <v>0.015</v>
      </c>
      <c r="AJ10" s="97">
        <v>0.015</v>
      </c>
      <c r="AK10" s="97">
        <v>0.015</v>
      </c>
      <c r="AL10" s="97">
        <v>0.015</v>
      </c>
      <c r="AM10" s="97">
        <v>0.015</v>
      </c>
      <c r="AN10" s="97">
        <v>0.015</v>
      </c>
      <c r="AO10" s="97">
        <v>0.015</v>
      </c>
      <c r="AP10" s="133">
        <v>0.015</v>
      </c>
    </row>
    <row r="11" spans="2:42" ht="12.75">
      <c r="B11" s="4"/>
      <c r="C11" s="5"/>
      <c r="D11" s="5"/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</row>
    <row r="12" spans="2:42" ht="12.75">
      <c r="B12" s="4" t="s">
        <v>34</v>
      </c>
      <c r="C12" s="5"/>
      <c r="D12" s="5"/>
      <c r="E12" s="95" t="str">
        <f>+E10</f>
        <v>% per annum</v>
      </c>
      <c r="F12" s="97">
        <v>0.01</v>
      </c>
      <c r="G12" s="97">
        <v>0.01</v>
      </c>
      <c r="H12" s="97">
        <v>0.01</v>
      </c>
      <c r="I12" s="97">
        <v>0.01</v>
      </c>
      <c r="J12" s="97">
        <v>0.015</v>
      </c>
      <c r="K12" s="97">
        <v>0.015</v>
      </c>
      <c r="L12" s="97">
        <v>0.015</v>
      </c>
      <c r="M12" s="97">
        <v>0.015</v>
      </c>
      <c r="N12" s="97">
        <v>0.015</v>
      </c>
      <c r="O12" s="97">
        <v>0.015</v>
      </c>
      <c r="P12" s="97">
        <v>0.015</v>
      </c>
      <c r="Q12" s="97">
        <v>0.015</v>
      </c>
      <c r="R12" s="97">
        <v>0.015</v>
      </c>
      <c r="S12" s="97">
        <v>0.015</v>
      </c>
      <c r="T12" s="97">
        <v>0.015</v>
      </c>
      <c r="U12" s="97">
        <v>0.015</v>
      </c>
      <c r="V12" s="97">
        <v>0.015</v>
      </c>
      <c r="W12" s="97">
        <v>0.015</v>
      </c>
      <c r="X12" s="97">
        <v>0.015</v>
      </c>
      <c r="Y12" s="97">
        <v>0.015</v>
      </c>
      <c r="Z12" s="97">
        <v>0.015</v>
      </c>
      <c r="AA12" s="97">
        <v>0.015</v>
      </c>
      <c r="AB12" s="97">
        <v>0.015</v>
      </c>
      <c r="AC12" s="97">
        <v>0.015</v>
      </c>
      <c r="AD12" s="97">
        <v>0.015</v>
      </c>
      <c r="AE12" s="97">
        <v>0.015</v>
      </c>
      <c r="AF12" s="97">
        <v>0.015</v>
      </c>
      <c r="AG12" s="97">
        <v>0.015</v>
      </c>
      <c r="AH12" s="97">
        <v>0.015</v>
      </c>
      <c r="AI12" s="97">
        <v>0.015</v>
      </c>
      <c r="AJ12" s="97">
        <v>0.015</v>
      </c>
      <c r="AK12" s="97">
        <v>0.015</v>
      </c>
      <c r="AL12" s="97">
        <v>0.015</v>
      </c>
      <c r="AM12" s="97">
        <v>0.015</v>
      </c>
      <c r="AN12" s="97">
        <v>0.015</v>
      </c>
      <c r="AO12" s="97">
        <v>0.015</v>
      </c>
      <c r="AP12" s="133">
        <v>0.015</v>
      </c>
    </row>
    <row r="13" spans="2:42" ht="12.75">
      <c r="B13" s="7"/>
      <c r="C13" s="8"/>
      <c r="D13" s="8"/>
      <c r="E13" s="9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9"/>
      <c r="AN13" s="9"/>
      <c r="AO13" s="9"/>
      <c r="AP13" s="9"/>
    </row>
    <row r="14" spans="2:36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2:36" ht="12.75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2:36" ht="12.75">
      <c r="B16" s="82" t="s">
        <v>37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91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2:36" ht="12.75">
      <c r="B17" s="99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9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2:36" ht="12.75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2:36" ht="12.75">
      <c r="B19" s="4" t="s">
        <v>0</v>
      </c>
      <c r="C19" s="5" t="s">
        <v>38</v>
      </c>
      <c r="D19" s="5"/>
      <c r="E19" s="5"/>
      <c r="F19" s="24">
        <v>-0.42</v>
      </c>
      <c r="G19" s="5"/>
      <c r="H19" s="5"/>
      <c r="I19" s="5"/>
      <c r="J19" s="5"/>
      <c r="K19" s="5"/>
      <c r="L19" s="5"/>
      <c r="M19" s="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2:36" ht="12.75">
      <c r="B20" s="4"/>
      <c r="C20" s="5" t="s">
        <v>39</v>
      </c>
      <c r="D20" s="5"/>
      <c r="E20" s="5"/>
      <c r="F20" s="24">
        <v>0.85</v>
      </c>
      <c r="G20" s="5"/>
      <c r="H20" s="5"/>
      <c r="I20" s="5"/>
      <c r="J20" s="5"/>
      <c r="K20" s="5"/>
      <c r="L20" s="5"/>
      <c r="M20" s="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2:36" ht="12.75">
      <c r="B21" s="4"/>
      <c r="C21" s="5"/>
      <c r="D21" s="5"/>
      <c r="E21" s="5"/>
      <c r="F21" s="18"/>
      <c r="G21" s="5"/>
      <c r="H21" s="5"/>
      <c r="I21" s="5"/>
      <c r="J21" s="5"/>
      <c r="K21" s="5"/>
      <c r="L21" s="5"/>
      <c r="M21" s="6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2:36" ht="12.75">
      <c r="B22" s="4" t="s">
        <v>9</v>
      </c>
      <c r="C22" s="5" t="s">
        <v>38</v>
      </c>
      <c r="D22" s="5"/>
      <c r="E22" s="5"/>
      <c r="F22" s="24">
        <v>-0.3</v>
      </c>
      <c r="G22" s="5"/>
      <c r="H22" s="5"/>
      <c r="I22" s="5"/>
      <c r="J22" s="5"/>
      <c r="K22" s="5"/>
      <c r="L22" s="5"/>
      <c r="M22" s="6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2:36" ht="12.7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5" spans="2:13" ht="12.75"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90"/>
    </row>
    <row r="26" spans="2:13" ht="12.75">
      <c r="B26" s="82" t="s">
        <v>17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91"/>
    </row>
    <row r="27" spans="2:13" ht="12.75">
      <c r="B27" s="85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92"/>
    </row>
    <row r="29" spans="2:13" ht="12.75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</row>
    <row r="30" spans="1:13" ht="12.75">
      <c r="A30">
        <v>2</v>
      </c>
      <c r="B30" s="45" t="s">
        <v>18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pans="2:13" ht="12.7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4"/>
    </row>
    <row r="32" spans="2:14" ht="12.7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/>
    </row>
    <row r="33" spans="2:13" ht="12.75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ht="12.75">
      <c r="A34">
        <v>0</v>
      </c>
      <c r="B34" s="45" t="s">
        <v>19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</row>
    <row r="35" spans="2:13" ht="12.7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4"/>
    </row>
    <row r="37" spans="2:13" ht="12.75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</row>
    <row r="38" spans="2:13" ht="12.75">
      <c r="B38" s="45" t="str">
        <f>IF(A34=3,"Please select year to be used for the base year"," ")</f>
        <v> </v>
      </c>
      <c r="C38" s="40"/>
      <c r="D38" s="40"/>
      <c r="E38" s="40"/>
      <c r="F38" s="24">
        <v>2006</v>
      </c>
      <c r="G38" s="40"/>
      <c r="H38" s="40"/>
      <c r="I38" s="40"/>
      <c r="J38" s="40"/>
      <c r="K38" s="40"/>
      <c r="L38" s="40"/>
      <c r="M38" s="41"/>
    </row>
    <row r="39" spans="2:13" ht="12.75">
      <c r="B39" s="56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4"/>
    </row>
    <row r="41" spans="2:13" ht="12.75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</row>
    <row r="42" spans="2:13" ht="12.75">
      <c r="B42" s="45" t="s">
        <v>20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2"/>
    </row>
    <row r="43" spans="2:13" ht="12.75"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8"/>
    </row>
    <row r="44" spans="2:13" ht="12.75">
      <c r="B44" s="53"/>
      <c r="C44" s="54"/>
      <c r="D44" s="54"/>
      <c r="E44" s="54"/>
      <c r="F44" s="48"/>
      <c r="G44" s="49"/>
      <c r="H44" s="49"/>
      <c r="I44" s="49"/>
      <c r="J44" s="49"/>
      <c r="K44" s="49"/>
      <c r="L44" s="49"/>
      <c r="M44" s="50"/>
    </row>
    <row r="45" spans="2:13" ht="12.75">
      <c r="B45" s="4"/>
      <c r="C45" s="5"/>
      <c r="D45" s="5"/>
      <c r="E45" s="5"/>
      <c r="F45" s="45">
        <f>IF(A34=1,"Metered","")</f>
      </c>
      <c r="G45" s="51">
        <f>IF(A34=1,"None Metered","")</f>
      </c>
      <c r="H45" s="51"/>
      <c r="I45" s="51">
        <f>IF(A34&gt;1,"Metered","")</f>
      </c>
      <c r="J45" s="51">
        <f>IF(A34&gt;1,"None Metered","")</f>
      </c>
      <c r="K45" s="51"/>
      <c r="L45" s="51"/>
      <c r="M45" s="52"/>
    </row>
    <row r="46" spans="2:13" ht="12.75">
      <c r="B46" s="4"/>
      <c r="C46" s="5"/>
      <c r="D46" s="5"/>
      <c r="E46" s="5"/>
      <c r="F46" s="56"/>
      <c r="G46" s="57"/>
      <c r="H46" s="57"/>
      <c r="I46" s="57"/>
      <c r="J46" s="57"/>
      <c r="K46" s="57"/>
      <c r="L46" s="57"/>
      <c r="M46" s="58"/>
    </row>
    <row r="47" spans="2:13" ht="12.75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2:13" ht="12.75">
      <c r="B48" s="4">
        <f>IF(A30=1,"Average Consumption","")</f>
      </c>
      <c r="C48" s="5"/>
      <c r="D48" s="5"/>
      <c r="E48" s="5"/>
      <c r="F48" s="24"/>
      <c r="G48" s="24"/>
      <c r="H48" s="5"/>
      <c r="I48" s="5"/>
      <c r="J48" s="5"/>
      <c r="K48" s="5"/>
      <c r="L48" s="5"/>
      <c r="M48" s="6"/>
    </row>
    <row r="49" spans="2:13" ht="12.75">
      <c r="B49" s="4" t="str">
        <f>IF($A$30=2,+'Input - Existing Situation'!D20,"")</f>
        <v>Apartment </v>
      </c>
      <c r="C49" s="5"/>
      <c r="D49" s="5"/>
      <c r="E49" s="5"/>
      <c r="F49" s="24"/>
      <c r="G49" s="24"/>
      <c r="H49" s="5"/>
      <c r="I49" s="5">
        <f>IF($A$34=1,"",IF(A34=2,+(HLOOKUP($F$38,'Input - Existing Situation'!$F$69:$L$79,'Input - Existing Situation'!A74)/HLOOKUP($F$38,'Input - Existing Situation'!$F$11:$L$25,'Input - Existing Situation'!A20)/365*1000000*1000),+AVERAGE('Input - Existing Situation'!F74:L74)/AVERAGE('Input - Existing Situation'!F20:L20)/365*1000000*1000))</f>
        <v>120</v>
      </c>
      <c r="J49" s="5">
        <f>IF($A$34=1,"",IF(A34=2,+(HLOOKUP($F$38,'Input - Existing Situation'!$F$69:$L$86,'Input - Existing Situation'!A81)/HLOOKUP($F$38,'Input - Existing Situation'!$F$11:$L$34,'Input - Existing Situation'!A29)/365*1000000*1000),+AVERAGE('Input - Existing Situation'!G81:M81)/AVERAGE('Input - Existing Situation'!G29:M29)/365*1000000*1000))</f>
        <v>199.99999999999997</v>
      </c>
      <c r="K49" s="5"/>
      <c r="L49" s="5"/>
      <c r="M49" s="6"/>
    </row>
    <row r="50" spans="2:13" ht="12.75">
      <c r="B50" s="4" t="str">
        <f>IF($A$30=2,+'Input - Existing Situation'!D21,"")</f>
        <v>Apartment - Separate Hot Water</v>
      </c>
      <c r="C50" s="5"/>
      <c r="D50" s="5"/>
      <c r="E50" s="5"/>
      <c r="F50" s="24"/>
      <c r="G50" s="24"/>
      <c r="H50" s="5"/>
      <c r="I50" s="5">
        <f>IF($A$34=1,"",IF(A35=2,+(HLOOKUP($F$38,'Input - Existing Situation'!$F$69:$L$79,'Input - Existing Situation'!A75)/HLOOKUP($F$38,'Input - Existing Situation'!$F$11:$L$25,'Input - Existing Situation'!A21)/365*1000000*1000),+AVERAGE('Input - Existing Situation'!F75:L75)/AVERAGE('Input - Existing Situation'!F21:L21)/365*1000000*1000))</f>
        <v>150.00000000000003</v>
      </c>
      <c r="J50" s="5">
        <f>IF($A$34=1,"",IF(A35=2,+(HLOOKUP($F$38,'Input - Existing Situation'!$F$69:$L$86,'Input - Existing Situation'!A82)/HLOOKUP($F$38,'Input - Existing Situation'!$F$11:$L$34,'Input - Existing Situation'!A30)/365*1000000*1000),+AVERAGE('Input - Existing Situation'!G82:M82)/AVERAGE('Input - Existing Situation'!G30:M30)/365*1000000*1000))</f>
        <v>250.00000000000006</v>
      </c>
      <c r="K50" s="5"/>
      <c r="L50" s="5"/>
      <c r="M50" s="6"/>
    </row>
    <row r="51" spans="2:13" ht="12.75">
      <c r="B51" s="4" t="str">
        <f>IF($A$30=2,+'Input - Existing Situation'!D22,"")</f>
        <v>House - Urban</v>
      </c>
      <c r="C51" s="5"/>
      <c r="D51" s="5"/>
      <c r="E51" s="5"/>
      <c r="F51" s="24"/>
      <c r="G51" s="24"/>
      <c r="H51" s="5"/>
      <c r="I51" s="5">
        <f>IF($A$34=1,"",IF(A36=2,+(HLOOKUP($F$38,'Input - Existing Situation'!$F$69:$L$79,'Input - Existing Situation'!A76)/HLOOKUP($F$38,'Input - Existing Situation'!$F$11:$L$25,'Input - Existing Situation'!A22)/365*1000000*1000),+AVERAGE('Input - Existing Situation'!F76:L76)/AVERAGE('Input - Existing Situation'!F22:L22)/365*1000000*1000))</f>
        <v>135</v>
      </c>
      <c r="J51" s="5">
        <f>IF($A$34=1,"",IF(A36=2,+(HLOOKUP($F$38,'Input - Existing Situation'!$F$69:$L$86,'Input - Existing Situation'!A83)/HLOOKUP($F$38,'Input - Existing Situation'!$F$11:$L$34,'Input - Existing Situation'!A31)/365*1000000*1000),+AVERAGE('Input - Existing Situation'!G83:M83)/AVERAGE('Input - Existing Situation'!G31:M31)/365*1000000*1000))</f>
        <v>175.00000000000003</v>
      </c>
      <c r="K51" s="5"/>
      <c r="L51" s="5"/>
      <c r="M51" s="6"/>
    </row>
    <row r="52" spans="2:13" ht="12.75">
      <c r="B52" s="4" t="str">
        <f>IF($A$30=2,+'Input - Existing Situation'!D23,"")</f>
        <v>House - Rural</v>
      </c>
      <c r="C52" s="5"/>
      <c r="D52" s="5"/>
      <c r="E52" s="5"/>
      <c r="F52" s="24"/>
      <c r="G52" s="24"/>
      <c r="H52" s="5"/>
      <c r="I52" s="5">
        <f>IF($A$34=1,"",IF(A37=2,+(HLOOKUP($F$38,'Input - Existing Situation'!$F$69:$L$79,'Input - Existing Situation'!A77)/HLOOKUP($F$38,'Input - Existing Situation'!$F$11:$L$25,'Input - Existing Situation'!A23)/365*1000000*1000),+AVERAGE('Input - Existing Situation'!F77:L77)/AVERAGE('Input - Existing Situation'!F23:L23)/365*1000000*1000))</f>
        <v>125.00000000000003</v>
      </c>
      <c r="J52" s="5">
        <f>IF($A$34=1,"",IF(A37=2,+(HLOOKUP($F$38,'Input - Existing Situation'!$F$69:$L$86,'Input - Existing Situation'!A84)/HLOOKUP($F$38,'Input - Existing Situation'!$F$11:$L$34,'Input - Existing Situation'!A32)/365*1000000*1000),+AVERAGE('Input - Existing Situation'!G84:M84)/AVERAGE('Input - Existing Situation'!G32:M32)/365*1000000*1000))</f>
        <v>195</v>
      </c>
      <c r="K52" s="5"/>
      <c r="L52" s="5"/>
      <c r="M52" s="6"/>
    </row>
    <row r="53" spans="2:13" ht="12.75">
      <c r="B53" s="4" t="str">
        <f>IF($A$30=2,+'Input - Existing Situation'!D24,"")</f>
        <v>Shared Yard Connection</v>
      </c>
      <c r="C53" s="5"/>
      <c r="D53" s="5"/>
      <c r="E53" s="5"/>
      <c r="F53" s="24"/>
      <c r="G53" s="24"/>
      <c r="H53" s="5"/>
      <c r="I53" s="5">
        <f>IF($A$34=1,"",IF(A38=2,+(HLOOKUP($F$38,'Input - Existing Situation'!$F$69:$L$79,'Input - Existing Situation'!A78)/HLOOKUP($F$38,'Input - Existing Situation'!$F$11:$L$25,'Input - Existing Situation'!A24)/365*1000000*1000),+AVERAGE('Input - Existing Situation'!F78:L78)/AVERAGE('Input - Existing Situation'!F24:L24)/365*1000000*1000))</f>
        <v>80</v>
      </c>
      <c r="J53" s="5">
        <f>IF($A$34=1,"",IF(A38=2,+(HLOOKUP($F$38,'Input - Existing Situation'!$F$69:$L$86,'Input - Existing Situation'!A85)/HLOOKUP($F$38,'Input - Existing Situation'!$F$11:$L$34,'Input - Existing Situation'!A33)/365*1000000*1000),+AVERAGE('Input - Existing Situation'!G85:M85)/AVERAGE('Input - Existing Situation'!G33:M33)/365*1000000*1000))</f>
        <v>70</v>
      </c>
      <c r="K53" s="5"/>
      <c r="L53" s="5"/>
      <c r="M53" s="6"/>
    </row>
    <row r="54" spans="2:13" ht="12.75">
      <c r="B54" s="4" t="str">
        <f>IF($A$30=2,+'Input - Existing Situation'!D25,"")</f>
        <v>Standpipe</v>
      </c>
      <c r="C54" s="5"/>
      <c r="D54" s="5"/>
      <c r="E54" s="5"/>
      <c r="F54" s="24"/>
      <c r="G54" s="24"/>
      <c r="H54" s="5"/>
      <c r="I54" s="5">
        <f>IF($A$34=1,"",IF(A39=2,+(HLOOKUP($F$38,'Input - Existing Situation'!$F$69:$L$79,'Input - Existing Situation'!A79)/HLOOKUP($F$38,'Input - Existing Situation'!$F$11:$L$25,'Input - Existing Situation'!A25)/365*1000000*1000),+AVERAGE('Input - Existing Situation'!F79:L79)/AVERAGE('Input - Existing Situation'!F25:L25)/365*1000000*1000))</f>
        <v>49.99999999999999</v>
      </c>
      <c r="J54" s="5">
        <f>IF($A$34=1,"",IF(A39=2,+(HLOOKUP($F$38,'Input - Existing Situation'!$F$69:$L$86,'Input - Existing Situation'!A86)/HLOOKUP($F$38,'Input - Existing Situation'!$F$11:$L$34,'Input - Existing Situation'!A34)/365*1000000*1000),+AVERAGE('Input - Existing Situation'!G86:M86)/AVERAGE('Input - Existing Situation'!G34:M34)/365*1000000*1000))</f>
        <v>60</v>
      </c>
      <c r="K54" s="5"/>
      <c r="L54" s="5"/>
      <c r="M54" s="6"/>
    </row>
    <row r="55" spans="2:13" ht="12.75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</row>
    <row r="57" spans="2:13" ht="12.75">
      <c r="B57" s="88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90"/>
    </row>
    <row r="58" spans="2:13" ht="12.75">
      <c r="B58" s="82" t="s">
        <v>24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91"/>
    </row>
    <row r="59" spans="2:13" ht="12.75">
      <c r="B59" s="99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92"/>
    </row>
    <row r="60" spans="2:13" ht="12.75">
      <c r="B60" s="1"/>
      <c r="C60" s="2"/>
      <c r="D60" s="2"/>
      <c r="E60" s="2"/>
      <c r="F60" s="37"/>
      <c r="G60" s="38"/>
      <c r="H60" s="39"/>
      <c r="I60" s="2"/>
      <c r="J60" s="2"/>
      <c r="K60" s="2"/>
      <c r="L60" s="2"/>
      <c r="M60" s="3"/>
    </row>
    <row r="61" spans="2:13" ht="12.75">
      <c r="B61" s="4"/>
      <c r="C61" s="5"/>
      <c r="D61" s="5"/>
      <c r="E61" s="5"/>
      <c r="F61" s="45" t="s">
        <v>25</v>
      </c>
      <c r="G61" s="51" t="s">
        <v>13</v>
      </c>
      <c r="H61" s="41"/>
      <c r="I61" s="5"/>
      <c r="J61" s="5"/>
      <c r="K61" s="5"/>
      <c r="L61" s="5"/>
      <c r="M61" s="6"/>
    </row>
    <row r="62" spans="2:13" ht="12.75">
      <c r="B62" s="4"/>
      <c r="C62" s="5"/>
      <c r="D62" s="5"/>
      <c r="E62" s="5"/>
      <c r="F62" s="42"/>
      <c r="G62" s="43"/>
      <c r="H62" s="44"/>
      <c r="I62" s="5"/>
      <c r="J62" s="5"/>
      <c r="K62" s="5"/>
      <c r="L62" s="5"/>
      <c r="M62" s="6"/>
    </row>
    <row r="63" spans="2:13" ht="12.75"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</row>
    <row r="64" spans="2:13" ht="12.75">
      <c r="B64" s="4" t="s">
        <v>26</v>
      </c>
      <c r="C64" s="5">
        <f>+'Input - Existing Situation'!G3</f>
        <v>2006</v>
      </c>
      <c r="D64" s="5"/>
      <c r="E64" s="5"/>
      <c r="F64" s="78">
        <f>HLOOKUP('Input - Existing Situation'!G3,'Input - Existing Situation'!F11:L38,'Input - Existing Situation'!A38)/HLOOKUP('Input - Existing Situation'!G3,'Input - Existing Situation'!F11:L14,'Input - Existing Situation'!A14)</f>
        <v>0.8317073170731707</v>
      </c>
      <c r="G64" s="78">
        <f>HLOOKUP('Input - Existing Situation'!G3,'Input - Existing Situation'!F11:L59,'Input - Existing Situation'!A59)/HLOOKUP('Input - Existing Situation'!G3,'Input - Existing Situation'!F11:L59,'Input - Existing Situation'!A14)</f>
        <v>0.623780487804878</v>
      </c>
      <c r="H64" s="5"/>
      <c r="I64" s="5" t="s">
        <v>27</v>
      </c>
      <c r="J64" s="5"/>
      <c r="K64" s="5"/>
      <c r="L64" s="5"/>
      <c r="M64" s="6"/>
    </row>
    <row r="65" spans="2:13" ht="12.75">
      <c r="B65" s="4"/>
      <c r="C65" s="5">
        <v>2010</v>
      </c>
      <c r="D65" s="5"/>
      <c r="E65" s="5"/>
      <c r="F65" s="97">
        <v>0.85</v>
      </c>
      <c r="G65" s="97">
        <v>0.7</v>
      </c>
      <c r="H65" s="5"/>
      <c r="I65" s="5"/>
      <c r="J65" s="5"/>
      <c r="K65" s="5"/>
      <c r="L65" s="5"/>
      <c r="M65" s="6"/>
    </row>
    <row r="66" spans="2:13" ht="12.75">
      <c r="B66" s="4"/>
      <c r="C66" s="5">
        <f>+C65+5</f>
        <v>2015</v>
      </c>
      <c r="D66" s="5"/>
      <c r="E66" s="5"/>
      <c r="F66" s="97">
        <v>0.87</v>
      </c>
      <c r="G66" s="97">
        <v>0.8</v>
      </c>
      <c r="H66" s="5"/>
      <c r="I66" s="5"/>
      <c r="J66" s="5"/>
      <c r="K66" s="5"/>
      <c r="L66" s="5"/>
      <c r="M66" s="6"/>
    </row>
    <row r="67" spans="2:13" ht="12.75">
      <c r="B67" s="4"/>
      <c r="C67" s="5">
        <f>+C66+5</f>
        <v>2020</v>
      </c>
      <c r="D67" s="5"/>
      <c r="E67" s="5"/>
      <c r="F67" s="97">
        <v>0.9</v>
      </c>
      <c r="G67" s="97">
        <v>0.85</v>
      </c>
      <c r="H67" s="5"/>
      <c r="I67" s="5"/>
      <c r="J67" s="5"/>
      <c r="K67" s="5"/>
      <c r="L67" s="5"/>
      <c r="M67" s="6"/>
    </row>
    <row r="68" spans="2:13" ht="12.75">
      <c r="B68" s="4"/>
      <c r="C68" s="5">
        <f>+C67+5</f>
        <v>2025</v>
      </c>
      <c r="D68" s="5"/>
      <c r="E68" s="5"/>
      <c r="F68" s="97">
        <v>0.92</v>
      </c>
      <c r="G68" s="97">
        <v>0.9</v>
      </c>
      <c r="H68" s="5"/>
      <c r="I68" s="5"/>
      <c r="J68" s="5"/>
      <c r="K68" s="5"/>
      <c r="L68" s="5"/>
      <c r="M68" s="6"/>
    </row>
    <row r="69" spans="2:13" ht="12.75">
      <c r="B69" s="4"/>
      <c r="C69" s="5">
        <f>+C68+5</f>
        <v>2030</v>
      </c>
      <c r="D69" s="5"/>
      <c r="E69" s="5"/>
      <c r="F69" s="97">
        <v>0.95</v>
      </c>
      <c r="G69" s="97">
        <v>0.95</v>
      </c>
      <c r="H69" s="5"/>
      <c r="I69" s="5"/>
      <c r="J69" s="5"/>
      <c r="K69" s="5"/>
      <c r="L69" s="5"/>
      <c r="M69" s="6"/>
    </row>
    <row r="70" spans="2:13" ht="12.75">
      <c r="B70" s="4"/>
      <c r="C70" s="5">
        <v>2035</v>
      </c>
      <c r="D70" s="5"/>
      <c r="E70" s="5"/>
      <c r="F70" s="97">
        <v>0.96</v>
      </c>
      <c r="G70" s="97">
        <v>0.96</v>
      </c>
      <c r="H70" s="5"/>
      <c r="I70" s="5"/>
      <c r="J70" s="5"/>
      <c r="K70" s="5"/>
      <c r="L70" s="5"/>
      <c r="M70" s="6"/>
    </row>
    <row r="71" spans="2:13" ht="12.75">
      <c r="B71" s="4"/>
      <c r="C71" s="5">
        <v>2040</v>
      </c>
      <c r="D71" s="5"/>
      <c r="E71" s="5"/>
      <c r="F71" s="97">
        <v>0.97</v>
      </c>
      <c r="G71" s="97">
        <v>0.97</v>
      </c>
      <c r="H71" s="5"/>
      <c r="I71" s="5"/>
      <c r="J71" s="5"/>
      <c r="K71" s="5"/>
      <c r="L71" s="5"/>
      <c r="M71" s="6"/>
    </row>
    <row r="72" spans="2:13" ht="12.75"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9"/>
    </row>
    <row r="74" spans="2:13" ht="12.75">
      <c r="B74" s="88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90"/>
    </row>
    <row r="75" spans="2:13" ht="12.75">
      <c r="B75" s="82" t="s">
        <v>35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91"/>
    </row>
    <row r="76" spans="2:13" ht="12.75">
      <c r="B76" s="99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92"/>
    </row>
    <row r="77" spans="2:13" ht="12.75">
      <c r="B77" s="1"/>
      <c r="C77" s="2"/>
      <c r="D77" s="3"/>
      <c r="E77" s="2"/>
      <c r="F77" s="2"/>
      <c r="G77" s="2"/>
      <c r="H77" s="2"/>
      <c r="I77" s="2"/>
      <c r="J77" s="2"/>
      <c r="K77" s="2"/>
      <c r="L77" s="2"/>
      <c r="M77" s="3"/>
    </row>
    <row r="78" spans="2:13" ht="12.75">
      <c r="B78" s="98" t="str">
        <f>IF(A30=1,"Enter Percentage of Connections","Enter Percentage of Connections")</f>
        <v>Enter Percentage of Connections</v>
      </c>
      <c r="C78" s="5"/>
      <c r="D78" s="6"/>
      <c r="E78" s="5"/>
      <c r="F78" s="5"/>
      <c r="G78" s="5"/>
      <c r="H78" s="5"/>
      <c r="I78" s="5"/>
      <c r="J78" s="5"/>
      <c r="K78" s="5"/>
      <c r="L78" s="5"/>
      <c r="M78" s="6"/>
    </row>
    <row r="79" spans="2:13" ht="12.75">
      <c r="B79" s="4"/>
      <c r="C79" s="5"/>
      <c r="D79" s="6"/>
      <c r="E79" s="5"/>
      <c r="F79" s="5"/>
      <c r="G79" s="5"/>
      <c r="H79" s="5"/>
      <c r="I79" s="5"/>
      <c r="J79" s="5"/>
      <c r="K79" s="5"/>
      <c r="L79" s="5"/>
      <c r="M79" s="6"/>
    </row>
    <row r="80" spans="2:13" ht="12.75">
      <c r="B80" s="4"/>
      <c r="C80" s="5"/>
      <c r="D80" s="6"/>
      <c r="E80" s="5">
        <f>+'Input - Existing Situation'!G3</f>
        <v>2006</v>
      </c>
      <c r="F80" s="5">
        <v>2010</v>
      </c>
      <c r="G80" s="5">
        <f aca="true" t="shared" si="1" ref="G80:L80">+F80+5</f>
        <v>2015</v>
      </c>
      <c r="H80" s="5">
        <f t="shared" si="1"/>
        <v>2020</v>
      </c>
      <c r="I80" s="5">
        <f t="shared" si="1"/>
        <v>2025</v>
      </c>
      <c r="J80" s="5">
        <f t="shared" si="1"/>
        <v>2030</v>
      </c>
      <c r="K80" s="5">
        <f t="shared" si="1"/>
        <v>2035</v>
      </c>
      <c r="L80" s="5">
        <f t="shared" si="1"/>
        <v>2040</v>
      </c>
      <c r="M80" s="6"/>
    </row>
    <row r="81" spans="2:13" ht="12.75">
      <c r="B81" s="4"/>
      <c r="C81" s="5"/>
      <c r="D81" s="6"/>
      <c r="E81" s="5"/>
      <c r="F81" s="5"/>
      <c r="G81" s="5"/>
      <c r="H81" s="5"/>
      <c r="I81" s="5"/>
      <c r="J81" s="5"/>
      <c r="K81" s="5"/>
      <c r="L81" s="5"/>
      <c r="M81" s="6"/>
    </row>
    <row r="82" spans="2:13" ht="12.75">
      <c r="B82" s="59">
        <f>IF(A30=1,"Metered","")</f>
      </c>
      <c r="C82" s="5"/>
      <c r="D82" s="6"/>
      <c r="E82" s="77">
        <f>HLOOKUP('Input - Existing Situation'!$G$3,'Input - Existing Situation'!$F$11:$L$59,'Input - Existing Situation'!A27)/HLOOKUP('Input - Existing Situation'!$G$3,'Input - Existing Situation'!$F$11:$L$59,'Input - Existing Situation'!$A$38)</f>
        <v>0.5</v>
      </c>
      <c r="F82" s="96">
        <v>0.55</v>
      </c>
      <c r="G82" s="96">
        <v>0.6</v>
      </c>
      <c r="H82" s="96">
        <v>0.7</v>
      </c>
      <c r="I82" s="96">
        <v>0.8</v>
      </c>
      <c r="J82" s="96">
        <v>0.85</v>
      </c>
      <c r="K82" s="96">
        <v>0.9</v>
      </c>
      <c r="L82" s="96">
        <v>0.95</v>
      </c>
      <c r="M82" s="6"/>
    </row>
    <row r="83" spans="2:13" ht="12.75">
      <c r="B83" s="59"/>
      <c r="C83" s="5"/>
      <c r="D83" s="6"/>
      <c r="E83" s="46"/>
      <c r="F83" s="46"/>
      <c r="G83" s="46"/>
      <c r="H83" s="46"/>
      <c r="I83" s="46"/>
      <c r="J83" s="46"/>
      <c r="K83" s="46"/>
      <c r="L83" s="46"/>
      <c r="M83" s="6"/>
    </row>
    <row r="84" spans="2:13" ht="12.75">
      <c r="B84" s="59" t="str">
        <f>IF(A30=1,"","Metered")</f>
        <v>Metered</v>
      </c>
      <c r="C84" s="5"/>
      <c r="D84" s="6"/>
      <c r="E84" s="5"/>
      <c r="F84" s="5"/>
      <c r="G84" s="5"/>
      <c r="H84" s="5"/>
      <c r="I84" s="5"/>
      <c r="J84" s="5"/>
      <c r="K84" s="5"/>
      <c r="L84" s="5"/>
      <c r="M84" s="6"/>
    </row>
    <row r="85" spans="2:13" ht="12.75">
      <c r="B85" s="4" t="str">
        <f aca="true" t="shared" si="2" ref="B85:B90">IF(A30=1,"",+B49)</f>
        <v>Apartment </v>
      </c>
      <c r="C85" s="5"/>
      <c r="D85" s="6"/>
      <c r="E85" s="77">
        <f>HLOOKUP('Input - Existing Situation'!$G$3,'Input - Existing Situation'!$F$11:$L$59,'Input - Existing Situation'!A20)/HLOOKUP('Input - Existing Situation'!$G$3,'Input - Existing Situation'!$F$11:$L$59,'Input - Existing Situation'!$A$38)</f>
        <v>0.2932551319648094</v>
      </c>
      <c r="F85" s="96">
        <v>0.35</v>
      </c>
      <c r="G85" s="96">
        <v>0.35</v>
      </c>
      <c r="H85" s="96">
        <v>0.35</v>
      </c>
      <c r="I85" s="96">
        <v>0.35</v>
      </c>
      <c r="J85" s="96">
        <v>0.35</v>
      </c>
      <c r="K85" s="96">
        <v>0.35</v>
      </c>
      <c r="L85" s="96">
        <v>0.35</v>
      </c>
      <c r="M85" s="6"/>
    </row>
    <row r="86" spans="2:13" ht="12.75">
      <c r="B86" s="4" t="str">
        <f t="shared" si="2"/>
        <v>Apartment - Separate Hot Water</v>
      </c>
      <c r="C86" s="5"/>
      <c r="D86" s="6"/>
      <c r="E86" s="77">
        <f>HLOOKUP('Input - Existing Situation'!$G$3,'Input - Existing Situation'!$F$11:$L$59,'Input - Existing Situation'!A21)/HLOOKUP('Input - Existing Situation'!$G$3,'Input - Existing Situation'!$F$11:$L$59,'Input - Existing Situation'!$A$38)</f>
        <v>0.03519061583577713</v>
      </c>
      <c r="F86" s="96">
        <v>0.05</v>
      </c>
      <c r="G86" s="96">
        <v>0.05</v>
      </c>
      <c r="H86" s="96">
        <v>0.05</v>
      </c>
      <c r="I86" s="96">
        <v>0.05</v>
      </c>
      <c r="J86" s="96">
        <v>0.05</v>
      </c>
      <c r="K86" s="96">
        <v>0.05</v>
      </c>
      <c r="L86" s="96">
        <v>0.05</v>
      </c>
      <c r="M86" s="6"/>
    </row>
    <row r="87" spans="2:13" ht="12.75">
      <c r="B87" s="4" t="str">
        <f t="shared" si="2"/>
        <v>House - Urban</v>
      </c>
      <c r="C87" s="5"/>
      <c r="D87" s="6"/>
      <c r="E87" s="77">
        <f>HLOOKUP('Input - Existing Situation'!$G$3,'Input - Existing Situation'!$F$11:$L$59,'Input - Existing Situation'!A22)/HLOOKUP('Input - Existing Situation'!$G$3,'Input - Existing Situation'!$F$11:$L$59,'Input - Existing Situation'!$A$38)</f>
        <v>0.05278592375366569</v>
      </c>
      <c r="F87" s="96">
        <v>0.03</v>
      </c>
      <c r="G87" s="96">
        <v>0.03</v>
      </c>
      <c r="H87" s="96">
        <v>0.03</v>
      </c>
      <c r="I87" s="96">
        <v>0.03</v>
      </c>
      <c r="J87" s="96">
        <v>0.03</v>
      </c>
      <c r="K87" s="96">
        <v>0.03</v>
      </c>
      <c r="L87" s="96">
        <v>0.03</v>
      </c>
      <c r="M87" s="6"/>
    </row>
    <row r="88" spans="2:13" ht="12.75">
      <c r="B88" s="4" t="str">
        <f t="shared" si="2"/>
        <v>House - Rural</v>
      </c>
      <c r="C88" s="5"/>
      <c r="D88" s="6"/>
      <c r="E88" s="77">
        <f>HLOOKUP('Input - Existing Situation'!$G$3,'Input - Existing Situation'!$F$11:$L$59,'Input - Existing Situation'!A23)/HLOOKUP('Input - Existing Situation'!$G$3,'Input - Existing Situation'!$F$11:$L$59,'Input - Existing Situation'!$A$38)</f>
        <v>0.06451612903225806</v>
      </c>
      <c r="F88" s="96">
        <v>0.02</v>
      </c>
      <c r="G88" s="96">
        <v>0.02</v>
      </c>
      <c r="H88" s="96">
        <v>0.02</v>
      </c>
      <c r="I88" s="96">
        <v>0.02</v>
      </c>
      <c r="J88" s="96">
        <v>0.02</v>
      </c>
      <c r="K88" s="96">
        <v>0.02</v>
      </c>
      <c r="L88" s="96">
        <v>0.02</v>
      </c>
      <c r="M88" s="6"/>
    </row>
    <row r="89" spans="2:13" ht="12.75">
      <c r="B89" s="4" t="str">
        <f t="shared" si="2"/>
        <v>Shared Yard Connection</v>
      </c>
      <c r="C89" s="5"/>
      <c r="D89" s="6"/>
      <c r="E89" s="77">
        <f>HLOOKUP('Input - Existing Situation'!$G$3,'Input - Existing Situation'!$F$11:$L$59,'Input - Existing Situation'!A24)/HLOOKUP('Input - Existing Situation'!$G$3,'Input - Existing Situation'!$F$11:$L$59,'Input - Existing Situation'!$A$38)</f>
        <v>0.01466275659824047</v>
      </c>
      <c r="F89" s="96">
        <v>0.01</v>
      </c>
      <c r="G89" s="96">
        <v>0.01</v>
      </c>
      <c r="H89" s="96">
        <v>0.01</v>
      </c>
      <c r="I89" s="96">
        <v>0.01</v>
      </c>
      <c r="J89" s="96">
        <v>0.01</v>
      </c>
      <c r="K89" s="96">
        <v>0.01</v>
      </c>
      <c r="L89" s="96">
        <v>0.01</v>
      </c>
      <c r="M89" s="6"/>
    </row>
    <row r="90" spans="2:13" ht="12.75">
      <c r="B90" s="4" t="str">
        <f t="shared" si="2"/>
        <v>Standpipe</v>
      </c>
      <c r="C90" s="5"/>
      <c r="D90" s="6"/>
      <c r="E90" s="77">
        <f>HLOOKUP('Input - Existing Situation'!$G$3,'Input - Existing Situation'!$F$11:$L$59,'Input - Existing Situation'!A25)/HLOOKUP('Input - Existing Situation'!$G$3,'Input - Existing Situation'!$F$11:$L$59,'Input - Existing Situation'!$A$38)</f>
        <v>0.039589442815249266</v>
      </c>
      <c r="F90" s="96">
        <v>0.04</v>
      </c>
      <c r="G90" s="96">
        <v>0.04</v>
      </c>
      <c r="H90" s="96">
        <v>0.04</v>
      </c>
      <c r="I90" s="96">
        <v>0.04</v>
      </c>
      <c r="J90" s="96">
        <v>0.04</v>
      </c>
      <c r="K90" s="96">
        <v>0.04</v>
      </c>
      <c r="L90" s="96">
        <v>0.04</v>
      </c>
      <c r="M90" s="6"/>
    </row>
    <row r="91" spans="2:13" ht="12.75">
      <c r="B91" s="4"/>
      <c r="C91" s="5"/>
      <c r="D91" s="6"/>
      <c r="E91" s="5"/>
      <c r="F91" s="5"/>
      <c r="G91" s="5"/>
      <c r="H91" s="5"/>
      <c r="I91" s="5"/>
      <c r="J91" s="5"/>
      <c r="K91" s="5"/>
      <c r="L91" s="5"/>
      <c r="M91" s="6"/>
    </row>
    <row r="92" spans="2:13" ht="12.75">
      <c r="B92" s="53">
        <f>IF(A30=1,"Not Metered","")</f>
      </c>
      <c r="C92" s="5"/>
      <c r="D92" s="6"/>
      <c r="E92" s="77">
        <f>HLOOKUP('Input - Existing Situation'!$G$3,'Input - Existing Situation'!$F$11:$L$59,'Input - Existing Situation'!A36)/HLOOKUP('Input - Existing Situation'!$G$3,'Input - Existing Situation'!$F$11:$L$59,'Input - Existing Situation'!$A$38)</f>
        <v>0.5</v>
      </c>
      <c r="F92" s="96">
        <v>0.45</v>
      </c>
      <c r="G92" s="96">
        <v>0.4</v>
      </c>
      <c r="H92" s="96">
        <v>0.3</v>
      </c>
      <c r="I92" s="96">
        <v>0.2</v>
      </c>
      <c r="J92" s="96">
        <v>0.15</v>
      </c>
      <c r="K92" s="96">
        <v>0.1</v>
      </c>
      <c r="L92" s="96">
        <v>0.05</v>
      </c>
      <c r="M92" s="6"/>
    </row>
    <row r="93" spans="2:13" ht="12.75">
      <c r="B93" s="59" t="str">
        <f>+IF(A30=1,"","Not Metered")</f>
        <v>Not Metered</v>
      </c>
      <c r="C93" s="5"/>
      <c r="D93" s="6"/>
      <c r="E93" s="5"/>
      <c r="F93" s="5"/>
      <c r="G93" s="5"/>
      <c r="H93" s="5"/>
      <c r="I93" s="5"/>
      <c r="J93" s="5"/>
      <c r="K93" s="5"/>
      <c r="L93" s="5"/>
      <c r="M93" s="6"/>
    </row>
    <row r="94" spans="2:13" ht="12.75">
      <c r="B94" s="4" t="str">
        <f aca="true" t="shared" si="3" ref="B94:B99">IF(A30=1,"",+B49)</f>
        <v>Apartment </v>
      </c>
      <c r="C94" s="5"/>
      <c r="D94" s="6"/>
      <c r="E94" s="77">
        <f>HLOOKUP('Input - Existing Situation'!$G$3,'Input - Existing Situation'!$F$11:$L$59,'Input - Existing Situation'!A29)/HLOOKUP('Input - Existing Situation'!$G$3,'Input - Existing Situation'!$F$11:$L$59,'Input - Existing Situation'!$A$38)</f>
        <v>0.2932551319648094</v>
      </c>
      <c r="F94" s="96">
        <v>0.35</v>
      </c>
      <c r="G94" s="96">
        <v>0.35</v>
      </c>
      <c r="H94" s="96">
        <v>0.35</v>
      </c>
      <c r="I94" s="96">
        <v>0.35</v>
      </c>
      <c r="J94" s="96">
        <v>0.35</v>
      </c>
      <c r="K94" s="96">
        <v>0.35</v>
      </c>
      <c r="L94" s="96">
        <v>0.35</v>
      </c>
      <c r="M94" s="6"/>
    </row>
    <row r="95" spans="2:13" ht="12.75">
      <c r="B95" s="4" t="str">
        <f t="shared" si="3"/>
        <v>Apartment - Separate Hot Water</v>
      </c>
      <c r="C95" s="5"/>
      <c r="D95" s="6"/>
      <c r="E95" s="77">
        <f>HLOOKUP('Input - Existing Situation'!$G$3,'Input - Existing Situation'!$F$11:$L$59,'Input - Existing Situation'!A30)/HLOOKUP('Input - Existing Situation'!$G$3,'Input - Existing Situation'!$F$11:$L$59,'Input - Existing Situation'!$A$38)</f>
        <v>0.03519061583577713</v>
      </c>
      <c r="F95" s="96">
        <v>0.04</v>
      </c>
      <c r="G95" s="96">
        <v>0.04</v>
      </c>
      <c r="H95" s="96">
        <v>0.04</v>
      </c>
      <c r="I95" s="96">
        <v>0.04</v>
      </c>
      <c r="J95" s="96">
        <v>0.04</v>
      </c>
      <c r="K95" s="96">
        <v>0.04</v>
      </c>
      <c r="L95" s="96">
        <v>0.04</v>
      </c>
      <c r="M95" s="6"/>
    </row>
    <row r="96" spans="2:13" ht="12.75">
      <c r="B96" s="4" t="str">
        <f t="shared" si="3"/>
        <v>House - Urban</v>
      </c>
      <c r="C96" s="5"/>
      <c r="D96" s="6"/>
      <c r="E96" s="77">
        <f>HLOOKUP('Input - Existing Situation'!$G$3,'Input - Existing Situation'!$F$11:$L$59,'Input - Existing Situation'!A31)/HLOOKUP('Input - Existing Situation'!$G$3,'Input - Existing Situation'!$F$11:$L$59,'Input - Existing Situation'!$A$38)</f>
        <v>0.05278592375366569</v>
      </c>
      <c r="F96" s="96">
        <v>0.05</v>
      </c>
      <c r="G96" s="96">
        <v>0.05</v>
      </c>
      <c r="H96" s="96">
        <v>0.05</v>
      </c>
      <c r="I96" s="96">
        <v>0.05</v>
      </c>
      <c r="J96" s="96">
        <v>0.05</v>
      </c>
      <c r="K96" s="96">
        <v>0.05</v>
      </c>
      <c r="L96" s="96">
        <v>0.05</v>
      </c>
      <c r="M96" s="6"/>
    </row>
    <row r="97" spans="2:13" ht="12.75">
      <c r="B97" s="4" t="str">
        <f t="shared" si="3"/>
        <v>House - Rural</v>
      </c>
      <c r="C97" s="5"/>
      <c r="D97" s="6"/>
      <c r="E97" s="77">
        <f>HLOOKUP('Input - Existing Situation'!$G$3,'Input - Existing Situation'!$F$11:$L$59,'Input - Existing Situation'!A32)/HLOOKUP('Input - Existing Situation'!$G$3,'Input - Existing Situation'!$F$11:$L$59,'Input - Existing Situation'!$A$38)</f>
        <v>0.06451612903225806</v>
      </c>
      <c r="F97" s="96">
        <v>0.04</v>
      </c>
      <c r="G97" s="96">
        <v>0.04</v>
      </c>
      <c r="H97" s="96">
        <v>0.04</v>
      </c>
      <c r="I97" s="96">
        <v>0.04</v>
      </c>
      <c r="J97" s="96">
        <v>0.04</v>
      </c>
      <c r="K97" s="96">
        <v>0.04</v>
      </c>
      <c r="L97" s="96">
        <v>0.04</v>
      </c>
      <c r="M97" s="6"/>
    </row>
    <row r="98" spans="2:13" ht="12.75">
      <c r="B98" s="4" t="str">
        <f t="shared" si="3"/>
        <v>Shared Yard Connection</v>
      </c>
      <c r="C98" s="5"/>
      <c r="D98" s="6"/>
      <c r="E98" s="77">
        <f>HLOOKUP('Input - Existing Situation'!$G$3,'Input - Existing Situation'!$F$11:$L$59,'Input - Existing Situation'!A33)/HLOOKUP('Input - Existing Situation'!$G$3,'Input - Existing Situation'!$F$11:$L$59,'Input - Existing Situation'!$A$38)</f>
        <v>0.01466275659824047</v>
      </c>
      <c r="F98" s="96">
        <v>0.01</v>
      </c>
      <c r="G98" s="96">
        <v>0.01</v>
      </c>
      <c r="H98" s="96">
        <v>0.01</v>
      </c>
      <c r="I98" s="96">
        <v>0.01</v>
      </c>
      <c r="J98" s="96">
        <v>0.01</v>
      </c>
      <c r="K98" s="96">
        <v>0.01</v>
      </c>
      <c r="L98" s="96">
        <v>0.01</v>
      </c>
      <c r="M98" s="6"/>
    </row>
    <row r="99" spans="2:13" ht="12.75">
      <c r="B99" s="4" t="str">
        <f t="shared" si="3"/>
        <v>Standpipe</v>
      </c>
      <c r="C99" s="5"/>
      <c r="D99" s="6"/>
      <c r="E99" s="77">
        <f>HLOOKUP('Input - Existing Situation'!$G$3,'Input - Existing Situation'!$F$11:$L$59,'Input - Existing Situation'!A34)/HLOOKUP('Input - Existing Situation'!$G$3,'Input - Existing Situation'!$F$11:$L$59,'Input - Existing Situation'!$A$38)</f>
        <v>0.039589442815249266</v>
      </c>
      <c r="F99" s="96">
        <v>0.01</v>
      </c>
      <c r="G99" s="96">
        <v>0.01</v>
      </c>
      <c r="H99" s="96">
        <v>0.01</v>
      </c>
      <c r="I99" s="96">
        <v>0.01</v>
      </c>
      <c r="J99" s="96">
        <v>0.01</v>
      </c>
      <c r="K99" s="96">
        <v>0.01</v>
      </c>
      <c r="L99" s="96">
        <v>0.01</v>
      </c>
      <c r="M99" s="6"/>
    </row>
    <row r="100" spans="2:13" ht="12.75">
      <c r="B100" s="4"/>
      <c r="C100" s="5"/>
      <c r="D100" s="6"/>
      <c r="E100" s="5"/>
      <c r="F100" s="5"/>
      <c r="G100" s="5"/>
      <c r="H100" s="5"/>
      <c r="I100" s="5"/>
      <c r="J100" s="5"/>
      <c r="K100" s="5"/>
      <c r="L100" s="5"/>
      <c r="M100" s="6"/>
    </row>
    <row r="101" spans="2:13" ht="12.75">
      <c r="B101" s="4"/>
      <c r="C101" s="5"/>
      <c r="D101" s="6"/>
      <c r="E101" s="93">
        <f>+SUM(E94:E99,E85:E90)</f>
        <v>0.9999999999999998</v>
      </c>
      <c r="F101" s="93">
        <f aca="true" t="shared" si="4" ref="F101:L101">+SUM(F94:F99,F85:F90)</f>
        <v>1</v>
      </c>
      <c r="G101" s="93">
        <f t="shared" si="4"/>
        <v>1</v>
      </c>
      <c r="H101" s="93">
        <f t="shared" si="4"/>
        <v>1</v>
      </c>
      <c r="I101" s="93">
        <f t="shared" si="4"/>
        <v>1</v>
      </c>
      <c r="J101" s="93">
        <f t="shared" si="4"/>
        <v>1</v>
      </c>
      <c r="K101" s="93">
        <f t="shared" si="4"/>
        <v>1</v>
      </c>
      <c r="L101" s="93">
        <f t="shared" si="4"/>
        <v>1</v>
      </c>
      <c r="M101" s="6"/>
    </row>
    <row r="102" spans="2:13" ht="12.75">
      <c r="B102" s="7"/>
      <c r="C102" s="8"/>
      <c r="D102" s="9"/>
      <c r="E102" s="8"/>
      <c r="F102" s="8"/>
      <c r="G102" s="8"/>
      <c r="H102" s="8"/>
      <c r="I102" s="8"/>
      <c r="J102" s="8"/>
      <c r="K102" s="8"/>
      <c r="L102" s="8"/>
      <c r="M102" s="9"/>
    </row>
    <row r="104" spans="2:13" ht="12.75">
      <c r="B104" s="88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90"/>
    </row>
    <row r="105" spans="2:13" ht="12.75">
      <c r="B105" s="82" t="s">
        <v>52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91"/>
    </row>
    <row r="106" spans="2:13" ht="12.75">
      <c r="B106" s="85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92"/>
    </row>
    <row r="107" spans="2:13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2:13" ht="12.75">
      <c r="B108" s="4" t="s">
        <v>53</v>
      </c>
      <c r="C108" s="5"/>
      <c r="D108" s="5"/>
      <c r="E108" s="5"/>
      <c r="F108" s="139">
        <f>IF($A$34=1,"",IF(A34=2,+(HLOOKUP($F$38,'Input - Existing Situation'!$F$69:$L$97,'Input - Existing Situation'!A94)/HLOOKUP($F$38,'Input - Existing Situation'!$F$11:$L$25,'Input - Existing Situation'!A14)/365*1000000*1000),+AVERAGE('Input - Existing Situation'!C94:I94)/AVERAGE('Input - Existing Situation'!C14:I14)/365*1000000*1000))</f>
        <v>13.596655222815189</v>
      </c>
      <c r="G108" s="5" t="s">
        <v>54</v>
      </c>
      <c r="H108" s="5"/>
      <c r="I108" s="5"/>
      <c r="J108" s="5"/>
      <c r="K108" s="5"/>
      <c r="L108" s="5"/>
      <c r="M108" s="6"/>
    </row>
    <row r="109" spans="2:13" ht="12.75"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</row>
    <row r="110" spans="2:13" ht="12.75">
      <c r="B110" s="4"/>
      <c r="C110" s="5"/>
      <c r="D110" s="5"/>
      <c r="E110" s="5">
        <v>2010</v>
      </c>
      <c r="F110" s="140">
        <v>12</v>
      </c>
      <c r="G110" s="5"/>
      <c r="H110" s="5"/>
      <c r="I110" s="5"/>
      <c r="J110" s="5"/>
      <c r="K110" s="5"/>
      <c r="L110" s="5"/>
      <c r="M110" s="6"/>
    </row>
    <row r="111" spans="2:13" ht="12.75">
      <c r="B111" s="4"/>
      <c r="C111" s="5"/>
      <c r="D111" s="5"/>
      <c r="E111" s="5">
        <v>2015</v>
      </c>
      <c r="F111" s="140">
        <v>11</v>
      </c>
      <c r="G111" s="5"/>
      <c r="H111" s="5"/>
      <c r="I111" s="5"/>
      <c r="J111" s="5"/>
      <c r="K111" s="5"/>
      <c r="L111" s="5"/>
      <c r="M111" s="6"/>
    </row>
    <row r="112" spans="2:13" ht="12.75">
      <c r="B112" s="4"/>
      <c r="C112" s="5"/>
      <c r="D112" s="5"/>
      <c r="E112" s="5">
        <v>2020</v>
      </c>
      <c r="F112" s="140">
        <v>10</v>
      </c>
      <c r="G112" s="5"/>
      <c r="H112" s="5"/>
      <c r="I112" s="5"/>
      <c r="J112" s="5"/>
      <c r="K112" s="5"/>
      <c r="L112" s="5"/>
      <c r="M112" s="6"/>
    </row>
    <row r="113" spans="2:13" ht="12.75">
      <c r="B113" s="4"/>
      <c r="C113" s="5"/>
      <c r="D113" s="5"/>
      <c r="E113" s="5">
        <v>2025</v>
      </c>
      <c r="F113" s="140">
        <v>9</v>
      </c>
      <c r="G113" s="5"/>
      <c r="H113" s="5"/>
      <c r="I113" s="5"/>
      <c r="J113" s="5"/>
      <c r="K113" s="5"/>
      <c r="L113" s="5"/>
      <c r="M113" s="6"/>
    </row>
    <row r="114" spans="2:13" ht="12.75">
      <c r="B114" s="4"/>
      <c r="C114" s="5"/>
      <c r="D114" s="5"/>
      <c r="E114" s="5">
        <v>2030</v>
      </c>
      <c r="F114" s="140">
        <v>8</v>
      </c>
      <c r="G114" s="5"/>
      <c r="H114" s="5"/>
      <c r="I114" s="5"/>
      <c r="J114" s="5"/>
      <c r="K114" s="5"/>
      <c r="L114" s="5"/>
      <c r="M114" s="6"/>
    </row>
    <row r="115" spans="2:13" ht="12.75">
      <c r="B115" s="4"/>
      <c r="C115" s="5"/>
      <c r="D115" s="5"/>
      <c r="E115" s="5">
        <v>2035</v>
      </c>
      <c r="F115" s="140">
        <v>7</v>
      </c>
      <c r="G115" s="5"/>
      <c r="H115" s="5"/>
      <c r="I115" s="5"/>
      <c r="J115" s="5"/>
      <c r="K115" s="5"/>
      <c r="L115" s="5"/>
      <c r="M115" s="6"/>
    </row>
    <row r="116" spans="2:13" ht="12.75">
      <c r="B116" s="4"/>
      <c r="C116" s="5"/>
      <c r="D116" s="5"/>
      <c r="E116" s="5">
        <v>2040</v>
      </c>
      <c r="F116" s="140">
        <v>6</v>
      </c>
      <c r="G116" s="5"/>
      <c r="H116" s="5"/>
      <c r="I116" s="5"/>
      <c r="J116" s="5"/>
      <c r="K116" s="5"/>
      <c r="L116" s="5"/>
      <c r="M116" s="6"/>
    </row>
    <row r="117" spans="2:13" ht="12.75">
      <c r="B117" s="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9"/>
    </row>
    <row r="119" spans="2:13" ht="12.75">
      <c r="B119" s="88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90"/>
    </row>
    <row r="120" spans="2:13" ht="12.75">
      <c r="B120" s="82" t="s">
        <v>61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91"/>
    </row>
    <row r="121" spans="2:13" ht="12.75">
      <c r="B121" s="85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92"/>
    </row>
    <row r="122" spans="2:13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2:13" ht="12.75">
      <c r="B123" s="4" t="s">
        <v>62</v>
      </c>
      <c r="C123" s="5"/>
      <c r="D123" s="5"/>
      <c r="E123" s="5"/>
      <c r="F123" s="139">
        <f>IF($A$34=1,"",IF(A34=2,+((HLOOKUP($F$38,'Input - Existing Situation'!$F$108:$L$111,'Input - Existing Situation'!A111)-(HLOOKUP($F$38,'Input - Existing Situation'!$F$69:$L$96,'Input - Existing Situation'!A96))/HLOOKUP($F$38,'Input - Existing Situation'!$F$108:$L$111,'Input - Existing Situation'!A111))),+((AVERAGE('Input - Existing Situation'!C111:I111)-((AVERAGE('Input - Existing Situation'!C96:I96))/AVERAGE('Input - Existing Situation'!C111:I111))))))</f>
        <v>34.93854326923077</v>
      </c>
      <c r="G123" s="5" t="s">
        <v>63</v>
      </c>
      <c r="H123" s="5"/>
      <c r="I123" s="5"/>
      <c r="J123" s="5"/>
      <c r="K123" s="5"/>
      <c r="L123" s="5"/>
      <c r="M123" s="6"/>
    </row>
    <row r="124" spans="2:13" ht="12.75">
      <c r="B124" s="4"/>
      <c r="C124" s="5"/>
      <c r="D124" s="5"/>
      <c r="E124" s="5"/>
      <c r="F124" s="139"/>
      <c r="G124" s="5"/>
      <c r="H124" s="5"/>
      <c r="I124" s="5"/>
      <c r="J124" s="5"/>
      <c r="K124" s="5"/>
      <c r="L124" s="5"/>
      <c r="M124" s="6"/>
    </row>
    <row r="125" spans="2:13" ht="12.75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</row>
    <row r="126" spans="1:13" ht="12.75">
      <c r="A126">
        <v>2</v>
      </c>
      <c r="B126" s="105" t="s">
        <v>64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1"/>
    </row>
    <row r="127" spans="2:13" ht="12.75">
      <c r="B127" s="105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1"/>
    </row>
    <row r="128" spans="2:13" ht="12.75"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4"/>
    </row>
    <row r="129" spans="2:13" ht="12.75"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</row>
    <row r="130" spans="2:13" ht="12.75"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</row>
    <row r="131" spans="2:13" ht="12.75"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</row>
    <row r="132" spans="2:13" ht="38.25">
      <c r="B132" s="4"/>
      <c r="C132" s="5"/>
      <c r="D132" s="5"/>
      <c r="E132" s="5"/>
      <c r="F132" s="153" t="str">
        <f>IF(A126=1,"% Unaccounted for Water","% Technical Losses")</f>
        <v>% Technical Losses</v>
      </c>
      <c r="G132" s="153" t="str">
        <f>IF(A126=1," ","% Non Technical Losses")</f>
        <v>% Non Technical Losses</v>
      </c>
      <c r="H132" s="5"/>
      <c r="I132" s="5"/>
      <c r="J132" s="5"/>
      <c r="K132" s="5"/>
      <c r="L132" s="5"/>
      <c r="M132" s="6"/>
    </row>
    <row r="133" spans="2:13" ht="12.75">
      <c r="B133" s="4"/>
      <c r="C133" s="5"/>
      <c r="D133" s="5"/>
      <c r="E133" s="5"/>
      <c r="F133" s="153"/>
      <c r="G133" s="153"/>
      <c r="H133" s="5"/>
      <c r="I133" s="5"/>
      <c r="J133" s="5"/>
      <c r="K133" s="5"/>
      <c r="L133" s="5"/>
      <c r="M133" s="6"/>
    </row>
    <row r="134" spans="2:13" ht="12.75">
      <c r="B134" s="4"/>
      <c r="C134" s="5">
        <v>2006</v>
      </c>
      <c r="D134" s="5"/>
      <c r="E134" s="5"/>
      <c r="F134" s="152">
        <v>0.2</v>
      </c>
      <c r="G134" s="152">
        <v>0.15</v>
      </c>
      <c r="H134" s="5"/>
      <c r="I134" s="5"/>
      <c r="J134" s="5"/>
      <c r="K134" s="5"/>
      <c r="L134" s="5"/>
      <c r="M134" s="6"/>
    </row>
    <row r="135" spans="2:13" ht="12.75">
      <c r="B135" s="4"/>
      <c r="C135" s="5">
        <v>2010</v>
      </c>
      <c r="D135" s="5"/>
      <c r="E135" s="5"/>
      <c r="F135" s="152">
        <v>0.2</v>
      </c>
      <c r="G135" s="152">
        <v>0.25</v>
      </c>
      <c r="H135" s="5"/>
      <c r="I135" s="5"/>
      <c r="J135" s="5"/>
      <c r="K135" s="5"/>
      <c r="L135" s="5"/>
      <c r="M135" s="6"/>
    </row>
    <row r="136" spans="2:13" ht="12.75">
      <c r="B136" s="4"/>
      <c r="C136" s="5">
        <v>2015</v>
      </c>
      <c r="D136" s="5"/>
      <c r="E136" s="5"/>
      <c r="F136" s="152">
        <v>0.15</v>
      </c>
      <c r="G136" s="152">
        <v>0.2</v>
      </c>
      <c r="H136" s="5"/>
      <c r="I136" s="5"/>
      <c r="J136" s="5"/>
      <c r="K136" s="5"/>
      <c r="L136" s="5"/>
      <c r="M136" s="6"/>
    </row>
    <row r="137" spans="2:13" ht="12.75">
      <c r="B137" s="4"/>
      <c r="C137" s="5">
        <v>2020</v>
      </c>
      <c r="D137" s="5"/>
      <c r="E137" s="5"/>
      <c r="F137" s="152">
        <v>0.16</v>
      </c>
      <c r="G137" s="152">
        <v>0.15</v>
      </c>
      <c r="H137" s="5"/>
      <c r="I137" s="5"/>
      <c r="J137" s="5"/>
      <c r="K137" s="5"/>
      <c r="L137" s="5"/>
      <c r="M137" s="6"/>
    </row>
    <row r="138" spans="2:13" ht="12.75">
      <c r="B138" s="4"/>
      <c r="C138" s="5">
        <v>2025</v>
      </c>
      <c r="D138" s="5"/>
      <c r="E138" s="5"/>
      <c r="F138" s="152">
        <v>0.14</v>
      </c>
      <c r="G138" s="152">
        <v>0.1</v>
      </c>
      <c r="H138" s="5"/>
      <c r="I138" s="5"/>
      <c r="J138" s="5"/>
      <c r="K138" s="5"/>
      <c r="L138" s="5"/>
      <c r="M138" s="6"/>
    </row>
    <row r="139" spans="2:13" ht="12.75">
      <c r="B139" s="4"/>
      <c r="C139" s="5">
        <v>2030</v>
      </c>
      <c r="D139" s="5"/>
      <c r="E139" s="5"/>
      <c r="F139" s="152">
        <v>0.12</v>
      </c>
      <c r="G139" s="152">
        <v>0.05</v>
      </c>
      <c r="H139" s="5"/>
      <c r="I139" s="5"/>
      <c r="J139" s="5"/>
      <c r="K139" s="5"/>
      <c r="L139" s="5"/>
      <c r="M139" s="6"/>
    </row>
    <row r="140" spans="2:13" ht="12.75">
      <c r="B140" s="4"/>
      <c r="C140" s="5">
        <v>2035</v>
      </c>
      <c r="D140" s="5"/>
      <c r="E140" s="5"/>
      <c r="F140" s="152">
        <v>0.12</v>
      </c>
      <c r="G140" s="152">
        <v>0.05</v>
      </c>
      <c r="H140" s="5"/>
      <c r="I140" s="5"/>
      <c r="J140" s="5"/>
      <c r="K140" s="5"/>
      <c r="L140" s="5"/>
      <c r="M140" s="6"/>
    </row>
    <row r="141" spans="2:13" ht="12.75">
      <c r="B141" s="4"/>
      <c r="C141" s="5">
        <v>2040</v>
      </c>
      <c r="D141" s="5"/>
      <c r="E141" s="5"/>
      <c r="F141" s="152">
        <v>0.12</v>
      </c>
      <c r="G141" s="152">
        <v>0.05</v>
      </c>
      <c r="H141" s="5"/>
      <c r="I141" s="5"/>
      <c r="J141" s="5"/>
      <c r="K141" s="5"/>
      <c r="L141" s="5"/>
      <c r="M141" s="6"/>
    </row>
    <row r="142" spans="2:13" ht="12.75"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</row>
    <row r="144" spans="2:13" ht="12.75">
      <c r="B144" s="88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90"/>
    </row>
    <row r="145" spans="2:13" ht="12.75">
      <c r="B145" s="82" t="s">
        <v>66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91"/>
    </row>
    <row r="146" spans="2:13" ht="12.75">
      <c r="B146" s="99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92"/>
    </row>
    <row r="147" spans="2:13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</row>
    <row r="148" spans="2:13" ht="12.75">
      <c r="B148" s="4" t="s">
        <v>0</v>
      </c>
      <c r="C148" s="5"/>
      <c r="D148" s="5"/>
      <c r="E148" s="152">
        <v>0.9</v>
      </c>
      <c r="F148" s="5" t="s">
        <v>67</v>
      </c>
      <c r="G148" s="5"/>
      <c r="H148" s="5"/>
      <c r="I148" s="5"/>
      <c r="J148" s="5"/>
      <c r="K148" s="5"/>
      <c r="L148" s="5"/>
      <c r="M148" s="6"/>
    </row>
    <row r="149" spans="2:13" ht="12.75">
      <c r="B149" s="4" t="s">
        <v>11</v>
      </c>
      <c r="C149" s="5"/>
      <c r="D149" s="5"/>
      <c r="E149" s="152">
        <v>0.9</v>
      </c>
      <c r="F149" s="5"/>
      <c r="G149" s="5"/>
      <c r="H149" s="5"/>
      <c r="I149" s="5"/>
      <c r="J149" s="5"/>
      <c r="K149" s="5"/>
      <c r="L149" s="5"/>
      <c r="M149" s="6"/>
    </row>
    <row r="150" spans="2:13" ht="12.75">
      <c r="B150" s="4" t="s">
        <v>51</v>
      </c>
      <c r="C150" s="5"/>
      <c r="D150" s="5"/>
      <c r="E150" s="152">
        <v>0.85</v>
      </c>
      <c r="F150" s="5"/>
      <c r="G150" s="5"/>
      <c r="H150" s="5"/>
      <c r="I150" s="5"/>
      <c r="J150" s="5"/>
      <c r="K150" s="5"/>
      <c r="L150" s="5"/>
      <c r="M150" s="6"/>
    </row>
    <row r="151" spans="2:13" ht="12.75">
      <c r="B151" s="7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</row>
    <row r="153" spans="2:40" ht="12.75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50"/>
    </row>
    <row r="154" spans="2:40" ht="12.75">
      <c r="B154" s="45" t="s">
        <v>69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2"/>
    </row>
    <row r="155" spans="2:40" ht="12.75">
      <c r="B155" s="56" t="s">
        <v>68</v>
      </c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8"/>
    </row>
    <row r="156" spans="2:40" ht="12.75">
      <c r="B156" s="88"/>
      <c r="C156" s="89"/>
      <c r="D156" s="89"/>
      <c r="E156" s="90"/>
      <c r="F156" s="144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90"/>
    </row>
    <row r="157" spans="2:40" ht="12.75">
      <c r="B157" s="113"/>
      <c r="C157" s="55"/>
      <c r="D157" s="55"/>
      <c r="E157" s="91"/>
      <c r="F157" s="156">
        <f>+'Input - Existing Situation'!G3</f>
        <v>2006</v>
      </c>
      <c r="G157" s="83">
        <f>+F157+1</f>
        <v>2007</v>
      </c>
      <c r="H157" s="83">
        <f aca="true" t="shared" si="5" ref="H157:AN157">+G157+1</f>
        <v>2008</v>
      </c>
      <c r="I157" s="83">
        <f t="shared" si="5"/>
        <v>2009</v>
      </c>
      <c r="J157" s="83">
        <f t="shared" si="5"/>
        <v>2010</v>
      </c>
      <c r="K157" s="83">
        <f t="shared" si="5"/>
        <v>2011</v>
      </c>
      <c r="L157" s="83">
        <f t="shared" si="5"/>
        <v>2012</v>
      </c>
      <c r="M157" s="83">
        <f t="shared" si="5"/>
        <v>2013</v>
      </c>
      <c r="N157" s="83">
        <f t="shared" si="5"/>
        <v>2014</v>
      </c>
      <c r="O157" s="83">
        <f t="shared" si="5"/>
        <v>2015</v>
      </c>
      <c r="P157" s="83">
        <f t="shared" si="5"/>
        <v>2016</v>
      </c>
      <c r="Q157" s="83">
        <f t="shared" si="5"/>
        <v>2017</v>
      </c>
      <c r="R157" s="83">
        <f t="shared" si="5"/>
        <v>2018</v>
      </c>
      <c r="S157" s="83">
        <f t="shared" si="5"/>
        <v>2019</v>
      </c>
      <c r="T157" s="83">
        <f t="shared" si="5"/>
        <v>2020</v>
      </c>
      <c r="U157" s="83">
        <f t="shared" si="5"/>
        <v>2021</v>
      </c>
      <c r="V157" s="83">
        <f t="shared" si="5"/>
        <v>2022</v>
      </c>
      <c r="W157" s="83">
        <f t="shared" si="5"/>
        <v>2023</v>
      </c>
      <c r="X157" s="83">
        <f t="shared" si="5"/>
        <v>2024</v>
      </c>
      <c r="Y157" s="83">
        <f t="shared" si="5"/>
        <v>2025</v>
      </c>
      <c r="Z157" s="83">
        <f t="shared" si="5"/>
        <v>2026</v>
      </c>
      <c r="AA157" s="83">
        <f t="shared" si="5"/>
        <v>2027</v>
      </c>
      <c r="AB157" s="83">
        <f t="shared" si="5"/>
        <v>2028</v>
      </c>
      <c r="AC157" s="83">
        <f t="shared" si="5"/>
        <v>2029</v>
      </c>
      <c r="AD157" s="83">
        <f t="shared" si="5"/>
        <v>2030</v>
      </c>
      <c r="AE157" s="83">
        <f t="shared" si="5"/>
        <v>2031</v>
      </c>
      <c r="AF157" s="83">
        <f t="shared" si="5"/>
        <v>2032</v>
      </c>
      <c r="AG157" s="83">
        <f t="shared" si="5"/>
        <v>2033</v>
      </c>
      <c r="AH157" s="83">
        <f t="shared" si="5"/>
        <v>2034</v>
      </c>
      <c r="AI157" s="83">
        <f t="shared" si="5"/>
        <v>2035</v>
      </c>
      <c r="AJ157" s="83">
        <f t="shared" si="5"/>
        <v>2036</v>
      </c>
      <c r="AK157" s="83">
        <f t="shared" si="5"/>
        <v>2037</v>
      </c>
      <c r="AL157" s="83">
        <f t="shared" si="5"/>
        <v>2038</v>
      </c>
      <c r="AM157" s="83">
        <f t="shared" si="5"/>
        <v>2039</v>
      </c>
      <c r="AN157" s="84">
        <f t="shared" si="5"/>
        <v>2040</v>
      </c>
    </row>
    <row r="158" spans="2:40" ht="12.75">
      <c r="B158" s="99"/>
      <c r="C158" s="61"/>
      <c r="D158" s="61"/>
      <c r="E158" s="92"/>
      <c r="F158" s="146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92"/>
    </row>
    <row r="159" spans="2:40" ht="12.75">
      <c r="B159" s="1"/>
      <c r="C159" s="2"/>
      <c r="D159" s="2"/>
      <c r="E159" s="3"/>
      <c r="F159" s="10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3"/>
    </row>
    <row r="160" spans="2:40" ht="12.75">
      <c r="B160" s="4" t="s">
        <v>0</v>
      </c>
      <c r="C160" s="5"/>
      <c r="D160" s="5"/>
      <c r="E160" s="6"/>
      <c r="F160" s="157">
        <f>HLOOKUP('Input - Existing Situation'!$G$3,'Input - Existing Situation'!$F$157:$L$162,'Input - Existing Situation'!A160)</f>
        <v>0</v>
      </c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55"/>
    </row>
    <row r="161" spans="2:40" ht="12.75">
      <c r="B161" s="4" t="s">
        <v>11</v>
      </c>
      <c r="C161" s="5"/>
      <c r="D161" s="5"/>
      <c r="E161" s="6"/>
      <c r="F161" s="157">
        <f>HLOOKUP('Input - Existing Situation'!$G$3,'Input - Existing Situation'!$F$157:$L$162,'Input - Existing Situation'!A161)</f>
        <v>0</v>
      </c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55"/>
    </row>
    <row r="162" spans="2:40" ht="12.75">
      <c r="B162" s="4" t="s">
        <v>51</v>
      </c>
      <c r="C162" s="5"/>
      <c r="D162" s="5"/>
      <c r="E162" s="6"/>
      <c r="F162" s="157">
        <f>HLOOKUP('Input - Existing Situation'!$G$3,'Input - Existing Situation'!$F$157:$L$162,'Input - Existing Situation'!A162)</f>
        <v>0</v>
      </c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55"/>
    </row>
    <row r="163" spans="2:40" ht="12.75">
      <c r="B163" s="4"/>
      <c r="C163" s="5"/>
      <c r="D163" s="5"/>
      <c r="E163" s="6"/>
      <c r="F163" s="157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165"/>
    </row>
    <row r="164" spans="2:40" ht="12.75">
      <c r="B164" s="4"/>
      <c r="C164" s="5"/>
      <c r="D164" s="5"/>
      <c r="E164" s="6"/>
      <c r="F164" s="157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165"/>
    </row>
    <row r="165" spans="2:40" ht="12.75">
      <c r="B165" s="4" t="s">
        <v>89</v>
      </c>
      <c r="C165" s="5"/>
      <c r="D165" s="5"/>
      <c r="E165" s="6"/>
      <c r="F165" s="157">
        <f>HLOOKUP('Input - Existing Situation'!$G$3,'Input - Existing Situation'!$F$157:$L$166,'Input - Existing Situation'!A166)</f>
        <v>0</v>
      </c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55"/>
    </row>
    <row r="166" spans="2:40" ht="12.75">
      <c r="B166" s="7"/>
      <c r="C166" s="8"/>
      <c r="D166" s="8"/>
      <c r="E166" s="9"/>
      <c r="F166" s="10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9"/>
    </row>
    <row r="168" spans="2:13" ht="12.75">
      <c r="B168" s="88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90"/>
    </row>
    <row r="169" spans="2:13" ht="12.75">
      <c r="B169" s="82" t="s">
        <v>82</v>
      </c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91"/>
    </row>
    <row r="170" spans="2:13" ht="12.75">
      <c r="B170" s="99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92"/>
    </row>
    <row r="171" spans="2:13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2:13" ht="12.75">
      <c r="B172" s="4" t="s">
        <v>94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6"/>
    </row>
    <row r="173" spans="2:13" ht="12.75"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6"/>
    </row>
    <row r="174" spans="2:13" ht="12.75">
      <c r="B174" s="4"/>
      <c r="C174" s="5"/>
      <c r="D174" s="5">
        <v>2006</v>
      </c>
      <c r="E174" s="152">
        <v>0.85</v>
      </c>
      <c r="F174" s="5"/>
      <c r="G174" s="5"/>
      <c r="H174" s="5"/>
      <c r="I174" s="5"/>
      <c r="J174" s="5"/>
      <c r="K174" s="5"/>
      <c r="L174" s="5"/>
      <c r="M174" s="6"/>
    </row>
    <row r="175" spans="2:13" ht="12.75">
      <c r="B175" s="4"/>
      <c r="C175" s="5"/>
      <c r="D175" s="5">
        <v>2010</v>
      </c>
      <c r="E175" s="152">
        <v>0.9</v>
      </c>
      <c r="F175" s="5"/>
      <c r="G175" s="5"/>
      <c r="H175" s="5"/>
      <c r="I175" s="5"/>
      <c r="J175" s="5"/>
      <c r="K175" s="5"/>
      <c r="L175" s="5"/>
      <c r="M175" s="6"/>
    </row>
    <row r="176" spans="2:13" ht="12.75">
      <c r="B176" s="4"/>
      <c r="C176" s="5"/>
      <c r="D176" s="5">
        <v>2015</v>
      </c>
      <c r="E176" s="152">
        <v>0.95</v>
      </c>
      <c r="F176" s="5"/>
      <c r="G176" s="5"/>
      <c r="H176" s="5"/>
      <c r="I176" s="5"/>
      <c r="J176" s="5"/>
      <c r="K176" s="5"/>
      <c r="L176" s="5"/>
      <c r="M176" s="6"/>
    </row>
    <row r="177" spans="2:13" ht="12.75">
      <c r="B177" s="4"/>
      <c r="C177" s="5"/>
      <c r="D177" s="46">
        <v>2020</v>
      </c>
      <c r="E177" s="152">
        <v>0.96</v>
      </c>
      <c r="F177" s="5"/>
      <c r="G177" s="5"/>
      <c r="H177" s="5"/>
      <c r="I177" s="5"/>
      <c r="J177" s="5"/>
      <c r="K177" s="5"/>
      <c r="L177" s="5"/>
      <c r="M177" s="6"/>
    </row>
    <row r="178" spans="2:13" ht="12.75">
      <c r="B178" s="4"/>
      <c r="C178" s="5"/>
      <c r="D178" s="46">
        <v>2025</v>
      </c>
      <c r="E178" s="152">
        <v>0.97</v>
      </c>
      <c r="F178" s="5"/>
      <c r="G178" s="5"/>
      <c r="H178" s="5"/>
      <c r="I178" s="5"/>
      <c r="J178" s="5"/>
      <c r="K178" s="5"/>
      <c r="L178" s="5"/>
      <c r="M178" s="6"/>
    </row>
    <row r="179" spans="2:13" ht="12.75">
      <c r="B179" s="4"/>
      <c r="C179" s="5"/>
      <c r="D179" s="46">
        <v>2030</v>
      </c>
      <c r="E179" s="152">
        <v>0.98</v>
      </c>
      <c r="F179" s="5"/>
      <c r="G179" s="5"/>
      <c r="H179" s="5"/>
      <c r="I179" s="5"/>
      <c r="J179" s="5"/>
      <c r="K179" s="5"/>
      <c r="L179" s="5"/>
      <c r="M179" s="6"/>
    </row>
    <row r="180" spans="2:13" ht="12.75">
      <c r="B180" s="4"/>
      <c r="C180" s="5"/>
      <c r="D180" s="46">
        <v>2035</v>
      </c>
      <c r="E180" s="152">
        <v>0.98</v>
      </c>
      <c r="F180" s="5"/>
      <c r="G180" s="5"/>
      <c r="H180" s="5"/>
      <c r="I180" s="5"/>
      <c r="J180" s="5"/>
      <c r="K180" s="5"/>
      <c r="L180" s="5"/>
      <c r="M180" s="6"/>
    </row>
    <row r="181" spans="2:13" ht="12.75">
      <c r="B181" s="4"/>
      <c r="C181" s="5"/>
      <c r="D181" s="46">
        <v>2040</v>
      </c>
      <c r="E181" s="152">
        <v>0.99</v>
      </c>
      <c r="F181" s="5"/>
      <c r="G181" s="5"/>
      <c r="H181" s="5"/>
      <c r="I181" s="5"/>
      <c r="J181" s="5"/>
      <c r="K181" s="5"/>
      <c r="L181" s="5"/>
      <c r="M181" s="6"/>
    </row>
    <row r="182" spans="2:13" ht="12.75"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6"/>
    </row>
    <row r="183" spans="2:13" ht="12.75">
      <c r="B183" s="4" t="s">
        <v>86</v>
      </c>
      <c r="C183" s="5"/>
      <c r="D183" s="5"/>
      <c r="E183" s="77">
        <f>+('Input - Existing Situation'!L178-'Input - Existing Situation'!L164-'Input - Existing Situation'!L144)/('Input - Existing Situation'!L144+'Input - Existing Situation'!L164)</f>
        <v>0.5</v>
      </c>
      <c r="F183" s="5"/>
      <c r="G183" s="5"/>
      <c r="H183" s="5"/>
      <c r="I183" s="5"/>
      <c r="J183" s="5"/>
      <c r="K183" s="5"/>
      <c r="L183" s="5"/>
      <c r="M183" s="6"/>
    </row>
    <row r="184" spans="2:13" ht="12.75"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6"/>
    </row>
    <row r="185" spans="2:13" ht="12.75">
      <c r="B185" s="4" t="s">
        <v>83</v>
      </c>
      <c r="C185" s="5"/>
      <c r="D185" s="5">
        <v>2006</v>
      </c>
      <c r="E185" s="152">
        <v>0.6</v>
      </c>
      <c r="F185" s="5" t="s">
        <v>84</v>
      </c>
      <c r="G185" s="5"/>
      <c r="H185" s="5"/>
      <c r="I185" s="5"/>
      <c r="J185" s="5"/>
      <c r="K185" s="5"/>
      <c r="L185" s="5"/>
      <c r="M185" s="6"/>
    </row>
    <row r="186" spans="2:13" ht="12.75">
      <c r="B186" s="4"/>
      <c r="C186" s="5"/>
      <c r="D186" s="5">
        <v>2010</v>
      </c>
      <c r="E186" s="152">
        <v>0.5</v>
      </c>
      <c r="F186" s="5"/>
      <c r="G186" s="5"/>
      <c r="H186" s="5"/>
      <c r="I186" s="5"/>
      <c r="J186" s="5"/>
      <c r="K186" s="5"/>
      <c r="L186" s="5"/>
      <c r="M186" s="6"/>
    </row>
    <row r="187" spans="2:13" ht="12.75">
      <c r="B187" s="4"/>
      <c r="C187" s="5"/>
      <c r="D187" s="5">
        <v>2015</v>
      </c>
      <c r="E187" s="152">
        <v>0.4</v>
      </c>
      <c r="F187" s="5"/>
      <c r="G187" s="5"/>
      <c r="H187" s="5"/>
      <c r="I187" s="5"/>
      <c r="J187" s="5"/>
      <c r="K187" s="5"/>
      <c r="L187" s="5"/>
      <c r="M187" s="6"/>
    </row>
    <row r="188" spans="2:13" ht="12.75">
      <c r="B188" s="4"/>
      <c r="C188" s="5"/>
      <c r="D188" s="46">
        <v>2020</v>
      </c>
      <c r="E188" s="152">
        <v>0.4</v>
      </c>
      <c r="F188" s="5"/>
      <c r="G188" s="5"/>
      <c r="H188" s="5"/>
      <c r="I188" s="5"/>
      <c r="J188" s="5"/>
      <c r="K188" s="5"/>
      <c r="L188" s="5"/>
      <c r="M188" s="6"/>
    </row>
    <row r="189" spans="2:13" ht="12.75">
      <c r="B189" s="4"/>
      <c r="C189" s="5"/>
      <c r="D189" s="46">
        <v>2025</v>
      </c>
      <c r="E189" s="152">
        <v>0.35</v>
      </c>
      <c r="F189" s="5"/>
      <c r="G189" s="5"/>
      <c r="H189" s="5"/>
      <c r="I189" s="5"/>
      <c r="J189" s="5"/>
      <c r="K189" s="5"/>
      <c r="L189" s="5"/>
      <c r="M189" s="6"/>
    </row>
    <row r="190" spans="2:13" ht="12.75">
      <c r="B190" s="4"/>
      <c r="C190" s="5"/>
      <c r="D190" s="46">
        <v>2030</v>
      </c>
      <c r="E190" s="152">
        <v>0.3</v>
      </c>
      <c r="F190" s="5"/>
      <c r="G190" s="5"/>
      <c r="H190" s="5"/>
      <c r="I190" s="5"/>
      <c r="J190" s="5"/>
      <c r="K190" s="5"/>
      <c r="L190" s="5"/>
      <c r="M190" s="6"/>
    </row>
    <row r="191" spans="2:13" ht="12.75">
      <c r="B191" s="4"/>
      <c r="C191" s="5"/>
      <c r="D191" s="46">
        <v>2035</v>
      </c>
      <c r="E191" s="152">
        <v>0.25</v>
      </c>
      <c r="F191" s="5"/>
      <c r="G191" s="5"/>
      <c r="H191" s="5"/>
      <c r="I191" s="5"/>
      <c r="J191" s="5"/>
      <c r="K191" s="5"/>
      <c r="L191" s="5"/>
      <c r="M191" s="6"/>
    </row>
    <row r="192" spans="2:13" ht="12.75">
      <c r="B192" s="4"/>
      <c r="C192" s="5"/>
      <c r="D192" s="46">
        <v>2040</v>
      </c>
      <c r="E192" s="152">
        <v>0.2</v>
      </c>
      <c r="F192" s="5"/>
      <c r="G192" s="5"/>
      <c r="H192" s="5"/>
      <c r="I192" s="5"/>
      <c r="J192" s="5"/>
      <c r="K192" s="5"/>
      <c r="L192" s="5"/>
      <c r="M192" s="6"/>
    </row>
    <row r="193" spans="2:13" ht="12.75">
      <c r="B193" s="4"/>
      <c r="C193" s="5"/>
      <c r="D193" s="5"/>
      <c r="E193" s="163"/>
      <c r="F193" s="5"/>
      <c r="G193" s="5"/>
      <c r="H193" s="5"/>
      <c r="I193" s="5"/>
      <c r="J193" s="5"/>
      <c r="K193" s="5"/>
      <c r="L193" s="5"/>
      <c r="M193" s="6"/>
    </row>
    <row r="194" spans="2:13" ht="12.75">
      <c r="B194" s="4" t="s">
        <v>51</v>
      </c>
      <c r="C194" s="5"/>
      <c r="D194" s="5"/>
      <c r="E194" s="152">
        <v>0.85</v>
      </c>
      <c r="F194" s="5"/>
      <c r="G194" s="5"/>
      <c r="H194" s="5"/>
      <c r="I194" s="5"/>
      <c r="J194" s="5"/>
      <c r="K194" s="5"/>
      <c r="L194" s="5"/>
      <c r="M194" s="6"/>
    </row>
    <row r="195" spans="2:13" ht="12.75">
      <c r="B195" s="4"/>
      <c r="C195" s="5"/>
      <c r="D195" s="5"/>
      <c r="E195" s="163"/>
      <c r="F195" s="5"/>
      <c r="G195" s="5"/>
      <c r="H195" s="5"/>
      <c r="I195" s="5"/>
      <c r="J195" s="5"/>
      <c r="K195" s="5"/>
      <c r="L195" s="5"/>
      <c r="M195" s="6"/>
    </row>
    <row r="196" spans="2:13" ht="12.75">
      <c r="B196" s="4" t="s">
        <v>91</v>
      </c>
      <c r="C196" s="5"/>
      <c r="D196" s="5"/>
      <c r="E196" s="167">
        <v>1.1</v>
      </c>
      <c r="F196" s="5"/>
      <c r="G196" s="5"/>
      <c r="H196" s="5"/>
      <c r="I196" s="5"/>
      <c r="J196" s="5"/>
      <c r="K196" s="5"/>
      <c r="L196" s="5"/>
      <c r="M196" s="6"/>
    </row>
    <row r="197" spans="2:13" ht="12.75">
      <c r="B197" s="4" t="s">
        <v>92</v>
      </c>
      <c r="C197" s="5"/>
      <c r="D197" s="5"/>
      <c r="E197" s="167">
        <v>2</v>
      </c>
      <c r="F197" s="5"/>
      <c r="G197" s="5"/>
      <c r="H197" s="5"/>
      <c r="I197" s="5"/>
      <c r="J197" s="5"/>
      <c r="K197" s="5"/>
      <c r="L197" s="5"/>
      <c r="M197" s="6"/>
    </row>
    <row r="198" spans="2:13" ht="12.75">
      <c r="B198" s="7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9"/>
    </row>
    <row r="200" spans="2:13" ht="12.75">
      <c r="B200" s="88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90"/>
    </row>
    <row r="201" spans="2:13" ht="12.75">
      <c r="B201" s="82" t="s">
        <v>99</v>
      </c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91"/>
    </row>
    <row r="202" spans="2:13" ht="12.75">
      <c r="B202" s="99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92"/>
    </row>
    <row r="203" spans="2:13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"/>
    </row>
    <row r="204" spans="2:13" ht="12.75">
      <c r="B204" s="4"/>
      <c r="C204" s="5"/>
      <c r="D204" s="5"/>
      <c r="E204" s="5"/>
      <c r="F204" s="5" t="s">
        <v>0</v>
      </c>
      <c r="G204" s="5"/>
      <c r="H204" s="5" t="s">
        <v>111</v>
      </c>
      <c r="I204" s="5"/>
      <c r="J204" s="5"/>
      <c r="K204" s="5"/>
      <c r="L204" s="5"/>
      <c r="M204" s="6"/>
    </row>
    <row r="205" spans="2:13" ht="12.75"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6"/>
    </row>
    <row r="206" spans="2:13" ht="12.75">
      <c r="B206" s="4" t="s">
        <v>112</v>
      </c>
      <c r="C206" s="5"/>
      <c r="D206" s="5"/>
      <c r="E206" s="5">
        <v>2006</v>
      </c>
      <c r="F206" s="140">
        <v>45</v>
      </c>
      <c r="G206" s="5" t="s">
        <v>100</v>
      </c>
      <c r="H206" s="140">
        <v>200</v>
      </c>
      <c r="I206" s="5" t="s">
        <v>101</v>
      </c>
      <c r="J206" s="5"/>
      <c r="K206" s="5"/>
      <c r="L206" s="5"/>
      <c r="M206" s="6"/>
    </row>
    <row r="207" spans="2:13" ht="12.75">
      <c r="B207" s="4"/>
      <c r="C207" s="5"/>
      <c r="D207" s="5"/>
      <c r="E207" s="5">
        <v>2010</v>
      </c>
      <c r="F207" s="140">
        <v>50</v>
      </c>
      <c r="G207" s="5"/>
      <c r="H207" s="140">
        <v>200</v>
      </c>
      <c r="I207" s="5"/>
      <c r="J207" s="5"/>
      <c r="K207" s="5"/>
      <c r="L207" s="5"/>
      <c r="M207" s="6"/>
    </row>
    <row r="208" spans="2:13" ht="12.75">
      <c r="B208" s="4"/>
      <c r="C208" s="5"/>
      <c r="D208" s="5"/>
      <c r="E208" s="5">
        <v>2015</v>
      </c>
      <c r="F208" s="140">
        <v>55</v>
      </c>
      <c r="G208" s="5"/>
      <c r="H208" s="140">
        <v>200</v>
      </c>
      <c r="I208" s="5"/>
      <c r="J208" s="5"/>
      <c r="K208" s="5"/>
      <c r="L208" s="5"/>
      <c r="M208" s="6"/>
    </row>
    <row r="209" spans="2:13" ht="12.75">
      <c r="B209" s="4"/>
      <c r="C209" s="5"/>
      <c r="D209" s="5"/>
      <c r="E209" s="5">
        <v>2020</v>
      </c>
      <c r="F209" s="140">
        <v>60</v>
      </c>
      <c r="G209" s="5"/>
      <c r="H209" s="140">
        <v>200</v>
      </c>
      <c r="I209" s="5"/>
      <c r="J209" s="5"/>
      <c r="K209" s="5"/>
      <c r="L209" s="5"/>
      <c r="M209" s="6"/>
    </row>
    <row r="210" spans="2:13" ht="12.75">
      <c r="B210" s="4"/>
      <c r="C210" s="5"/>
      <c r="D210" s="5"/>
      <c r="E210" s="46">
        <v>2025</v>
      </c>
      <c r="F210" s="140">
        <f>+F209</f>
        <v>60</v>
      </c>
      <c r="G210" s="5"/>
      <c r="H210" s="140">
        <v>200</v>
      </c>
      <c r="I210" s="5"/>
      <c r="J210" s="5"/>
      <c r="K210" s="5"/>
      <c r="L210" s="5"/>
      <c r="M210" s="6"/>
    </row>
    <row r="211" spans="2:13" ht="12.75">
      <c r="B211" s="4"/>
      <c r="C211" s="5"/>
      <c r="D211" s="5"/>
      <c r="E211" s="46">
        <v>2030</v>
      </c>
      <c r="F211" s="140">
        <f>+F210</f>
        <v>60</v>
      </c>
      <c r="G211" s="5"/>
      <c r="H211" s="140">
        <v>200</v>
      </c>
      <c r="I211" s="5"/>
      <c r="J211" s="5"/>
      <c r="K211" s="5"/>
      <c r="L211" s="5"/>
      <c r="M211" s="6"/>
    </row>
    <row r="212" spans="2:13" ht="12.75">
      <c r="B212" s="4"/>
      <c r="C212" s="5"/>
      <c r="D212" s="5"/>
      <c r="E212" s="46">
        <v>2035</v>
      </c>
      <c r="F212" s="140">
        <f>+F211</f>
        <v>60</v>
      </c>
      <c r="G212" s="5"/>
      <c r="H212" s="140">
        <v>200</v>
      </c>
      <c r="I212" s="5"/>
      <c r="J212" s="5"/>
      <c r="K212" s="5"/>
      <c r="L212" s="5"/>
      <c r="M212" s="6"/>
    </row>
    <row r="213" spans="2:13" ht="12.75">
      <c r="B213" s="4"/>
      <c r="C213" s="5"/>
      <c r="D213" s="5"/>
      <c r="E213" s="46">
        <v>2040</v>
      </c>
      <c r="F213" s="140">
        <f>+F212</f>
        <v>60</v>
      </c>
      <c r="G213" s="5"/>
      <c r="H213" s="140">
        <v>200</v>
      </c>
      <c r="I213" s="5"/>
      <c r="J213" s="5"/>
      <c r="K213" s="5"/>
      <c r="L213" s="5"/>
      <c r="M213" s="6"/>
    </row>
    <row r="214" spans="2:13" ht="12.75"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6"/>
    </row>
    <row r="215" spans="2:13" ht="12.75"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6"/>
    </row>
    <row r="216" spans="2:13" ht="12.75"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6"/>
    </row>
    <row r="217" spans="2:13" ht="12.75">
      <c r="B217" s="7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9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A154"/>
  <sheetViews>
    <sheetView workbookViewId="0" topLeftCell="AB1">
      <selection activeCell="AR23" sqref="AR23"/>
    </sheetView>
  </sheetViews>
  <sheetFormatPr defaultColWidth="9.140625" defaultRowHeight="12.75"/>
  <cols>
    <col min="3" max="3" width="9.8515625" style="0" customWidth="1"/>
    <col min="4" max="4" width="11.28125" style="0" customWidth="1"/>
    <col min="5" max="5" width="11.28125" style="0" bestFit="1" customWidth="1"/>
    <col min="6" max="6" width="11.28125" style="0" customWidth="1"/>
    <col min="7" max="7" width="11.28125" style="0" bestFit="1" customWidth="1"/>
    <col min="8" max="10" width="10.421875" style="0" bestFit="1" customWidth="1"/>
    <col min="11" max="11" width="9.421875" style="0" bestFit="1" customWidth="1"/>
    <col min="12" max="12" width="10.421875" style="0" bestFit="1" customWidth="1"/>
    <col min="13" max="13" width="10.421875" style="0" customWidth="1"/>
    <col min="14" max="14" width="11.421875" style="0" bestFit="1" customWidth="1"/>
    <col min="15" max="17" width="10.421875" style="0" bestFit="1" customWidth="1"/>
    <col min="18" max="19" width="9.421875" style="0" bestFit="1" customWidth="1"/>
    <col min="40" max="40" width="9.57421875" style="0" customWidth="1"/>
    <col min="41" max="41" width="13.57421875" style="0" customWidth="1"/>
    <col min="42" max="42" width="12.8515625" style="0" customWidth="1"/>
    <col min="43" max="43" width="12.28125" style="0" customWidth="1"/>
    <col min="44" max="44" width="11.28125" style="0" customWidth="1"/>
    <col min="45" max="45" width="9.28125" style="0" customWidth="1"/>
    <col min="46" max="46" width="7.57421875" style="0" customWidth="1"/>
    <col min="47" max="47" width="9.57421875" style="0" customWidth="1"/>
    <col min="48" max="48" width="11.57421875" style="0" customWidth="1"/>
    <col min="49" max="49" width="12.8515625" style="0" customWidth="1"/>
    <col min="50" max="50" width="12.28125" style="0" customWidth="1"/>
    <col min="51" max="51" width="11.28125" style="0" customWidth="1"/>
    <col min="52" max="52" width="9.28125" style="0" customWidth="1"/>
  </cols>
  <sheetData>
    <row r="1" spans="2:6" ht="15.75">
      <c r="B1" s="125"/>
      <c r="C1" s="125"/>
      <c r="D1" s="125"/>
      <c r="E1" s="125"/>
      <c r="F1" s="124"/>
    </row>
    <row r="2" spans="2:6" ht="15.75">
      <c r="B2" s="126" t="s">
        <v>49</v>
      </c>
      <c r="C2" s="125"/>
      <c r="D2" s="125"/>
      <c r="E2" s="125"/>
      <c r="F2" s="124"/>
    </row>
    <row r="3" spans="2:6" ht="15.75">
      <c r="B3" s="125"/>
      <c r="C3" s="125"/>
      <c r="D3" s="125"/>
      <c r="E3" s="125"/>
      <c r="F3" s="124"/>
    </row>
    <row r="5" spans="2:52" ht="12.75">
      <c r="B5" s="1"/>
      <c r="C5" s="109"/>
      <c r="D5" s="3"/>
      <c r="E5" s="3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V5" s="106"/>
      <c r="X5" s="37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9"/>
      <c r="AM5" s="37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9"/>
    </row>
    <row r="6" spans="2:52" ht="15.75">
      <c r="B6" s="4"/>
      <c r="C6" s="110" t="s">
        <v>40</v>
      </c>
      <c r="D6" s="6"/>
      <c r="E6" s="187" t="s">
        <v>41</v>
      </c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9"/>
      <c r="V6" s="107"/>
      <c r="X6" s="187" t="s">
        <v>44</v>
      </c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9"/>
      <c r="AM6" s="187" t="s">
        <v>45</v>
      </c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9"/>
    </row>
    <row r="7" spans="2:52" ht="12.75">
      <c r="B7" s="4"/>
      <c r="C7" s="110"/>
      <c r="D7" s="6"/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4"/>
      <c r="V7" s="107"/>
      <c r="X7" s="42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4"/>
      <c r="AM7" s="42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4"/>
    </row>
    <row r="8" spans="2:52" ht="12.75">
      <c r="B8" s="4"/>
      <c r="C8" s="110"/>
      <c r="D8" s="6"/>
      <c r="E8" s="109"/>
      <c r="F8" s="40"/>
      <c r="G8" s="40"/>
      <c r="H8" s="40"/>
      <c r="I8" s="40"/>
      <c r="J8" s="40"/>
      <c r="K8" s="40"/>
      <c r="L8" s="41"/>
      <c r="M8" s="40"/>
      <c r="N8" s="105"/>
      <c r="O8" s="40"/>
      <c r="P8" s="40"/>
      <c r="Q8" s="40"/>
      <c r="R8" s="40"/>
      <c r="S8" s="41"/>
      <c r="V8" s="107"/>
      <c r="X8" s="106"/>
      <c r="Y8" s="40"/>
      <c r="Z8" s="40"/>
      <c r="AA8" s="40"/>
      <c r="AB8" s="40"/>
      <c r="AC8" s="40"/>
      <c r="AD8" s="41"/>
      <c r="AE8" s="40"/>
      <c r="AF8" s="105"/>
      <c r="AG8" s="40"/>
      <c r="AH8" s="40"/>
      <c r="AI8" s="40"/>
      <c r="AJ8" s="40"/>
      <c r="AK8" s="41"/>
      <c r="AM8" s="106"/>
      <c r="AN8" s="40"/>
      <c r="AO8" s="40"/>
      <c r="AP8" s="40"/>
      <c r="AQ8" s="40"/>
      <c r="AR8" s="40"/>
      <c r="AS8" s="41"/>
      <c r="AT8" s="40"/>
      <c r="AU8" s="105"/>
      <c r="AV8" s="40"/>
      <c r="AW8" s="40"/>
      <c r="AX8" s="40"/>
      <c r="AY8" s="40"/>
      <c r="AZ8" s="41"/>
    </row>
    <row r="9" spans="2:52" ht="12.75">
      <c r="B9" s="4"/>
      <c r="C9" s="110"/>
      <c r="D9" s="6"/>
      <c r="E9" s="110"/>
      <c r="F9" s="40"/>
      <c r="G9" s="184" t="s">
        <v>5</v>
      </c>
      <c r="H9" s="184"/>
      <c r="I9" s="184"/>
      <c r="J9" s="184"/>
      <c r="K9" s="184"/>
      <c r="L9" s="185"/>
      <c r="M9" s="101"/>
      <c r="N9" s="186" t="s">
        <v>42</v>
      </c>
      <c r="O9" s="184"/>
      <c r="P9" s="184"/>
      <c r="Q9" s="184"/>
      <c r="R9" s="184"/>
      <c r="S9" s="185"/>
      <c r="V9" s="107"/>
      <c r="X9" s="107"/>
      <c r="Y9" s="184" t="s">
        <v>5</v>
      </c>
      <c r="Z9" s="184"/>
      <c r="AA9" s="184"/>
      <c r="AB9" s="184"/>
      <c r="AC9" s="184"/>
      <c r="AD9" s="185"/>
      <c r="AE9" s="101"/>
      <c r="AF9" s="186" t="s">
        <v>42</v>
      </c>
      <c r="AG9" s="184"/>
      <c r="AH9" s="184"/>
      <c r="AI9" s="184"/>
      <c r="AJ9" s="184"/>
      <c r="AK9" s="185"/>
      <c r="AM9" s="107"/>
      <c r="AN9" s="184" t="s">
        <v>5</v>
      </c>
      <c r="AO9" s="184"/>
      <c r="AP9" s="184"/>
      <c r="AQ9" s="184"/>
      <c r="AR9" s="184"/>
      <c r="AS9" s="185"/>
      <c r="AT9" s="101"/>
      <c r="AU9" s="186" t="s">
        <v>42</v>
      </c>
      <c r="AV9" s="184"/>
      <c r="AW9" s="184"/>
      <c r="AX9" s="184"/>
      <c r="AY9" s="184"/>
      <c r="AZ9" s="185"/>
    </row>
    <row r="10" spans="2:52" ht="12.75">
      <c r="B10" s="4"/>
      <c r="C10" s="110"/>
      <c r="D10" s="6"/>
      <c r="E10" s="110"/>
      <c r="F10" s="40"/>
      <c r="G10" s="102"/>
      <c r="H10" s="102"/>
      <c r="I10" s="102"/>
      <c r="J10" s="102"/>
      <c r="K10" s="102"/>
      <c r="L10" s="104"/>
      <c r="M10" s="102"/>
      <c r="N10" s="103"/>
      <c r="O10" s="102"/>
      <c r="P10" s="102"/>
      <c r="Q10" s="102"/>
      <c r="R10" s="102"/>
      <c r="S10" s="104"/>
      <c r="V10" s="107"/>
      <c r="X10" s="107"/>
      <c r="Y10" s="102"/>
      <c r="Z10" s="102"/>
      <c r="AA10" s="102"/>
      <c r="AB10" s="102"/>
      <c r="AC10" s="102"/>
      <c r="AD10" s="104"/>
      <c r="AE10" s="102"/>
      <c r="AF10" s="103"/>
      <c r="AG10" s="102"/>
      <c r="AH10" s="102"/>
      <c r="AI10" s="102"/>
      <c r="AJ10" s="102"/>
      <c r="AK10" s="104"/>
      <c r="AM10" s="107"/>
      <c r="AN10" s="102"/>
      <c r="AO10" s="102"/>
      <c r="AP10" s="102"/>
      <c r="AQ10" s="102"/>
      <c r="AR10" s="102"/>
      <c r="AS10" s="104"/>
      <c r="AT10" s="102"/>
      <c r="AU10" s="103"/>
      <c r="AV10" s="102"/>
      <c r="AW10" s="102"/>
      <c r="AX10" s="102"/>
      <c r="AY10" s="102"/>
      <c r="AZ10" s="104"/>
    </row>
    <row r="11" spans="2:52" ht="12.75">
      <c r="B11" s="4"/>
      <c r="C11" s="110"/>
      <c r="D11" s="6"/>
      <c r="E11" s="110"/>
      <c r="F11" s="105"/>
      <c r="G11" s="88"/>
      <c r="H11" s="89"/>
      <c r="I11" s="89"/>
      <c r="J11" s="89"/>
      <c r="K11" s="89"/>
      <c r="L11" s="90"/>
      <c r="M11" s="38"/>
      <c r="N11" s="88"/>
      <c r="O11" s="89"/>
      <c r="P11" s="89"/>
      <c r="Q11" s="89"/>
      <c r="R11" s="89"/>
      <c r="S11" s="90"/>
      <c r="V11" s="107"/>
      <c r="X11" s="107"/>
      <c r="Y11" s="89"/>
      <c r="Z11" s="89"/>
      <c r="AA11" s="89"/>
      <c r="AB11" s="89"/>
      <c r="AC11" s="89"/>
      <c r="AD11" s="90"/>
      <c r="AE11" s="89"/>
      <c r="AF11" s="88"/>
      <c r="AG11" s="89"/>
      <c r="AH11" s="89"/>
      <c r="AI11" s="89"/>
      <c r="AJ11" s="89"/>
      <c r="AK11" s="90"/>
      <c r="AM11" s="107"/>
      <c r="AN11" s="89"/>
      <c r="AO11" s="89"/>
      <c r="AP11" s="89"/>
      <c r="AQ11" s="89"/>
      <c r="AR11" s="89"/>
      <c r="AS11" s="90"/>
      <c r="AT11" s="89"/>
      <c r="AU11" s="88"/>
      <c r="AV11" s="89"/>
      <c r="AW11" s="89"/>
      <c r="AX11" s="89"/>
      <c r="AY11" s="89"/>
      <c r="AZ11" s="90"/>
    </row>
    <row r="12" spans="2:52" ht="38.25">
      <c r="B12" s="4"/>
      <c r="C12" s="110"/>
      <c r="D12" s="6"/>
      <c r="E12" s="110" t="s">
        <v>1</v>
      </c>
      <c r="F12" s="105" t="s">
        <v>5</v>
      </c>
      <c r="G12" s="113" t="s">
        <v>21</v>
      </c>
      <c r="H12" s="55" t="s">
        <v>2</v>
      </c>
      <c r="I12" s="55" t="s">
        <v>3</v>
      </c>
      <c r="J12" s="55" t="s">
        <v>4</v>
      </c>
      <c r="K12" s="55" t="s">
        <v>6</v>
      </c>
      <c r="L12" s="91" t="s">
        <v>7</v>
      </c>
      <c r="M12" s="40" t="s">
        <v>48</v>
      </c>
      <c r="N12" s="113" t="s">
        <v>21</v>
      </c>
      <c r="O12" s="55" t="s">
        <v>2</v>
      </c>
      <c r="P12" s="55" t="s">
        <v>3</v>
      </c>
      <c r="Q12" s="55" t="s">
        <v>4</v>
      </c>
      <c r="R12" s="55" t="s">
        <v>6</v>
      </c>
      <c r="S12" s="91" t="s">
        <v>7</v>
      </c>
      <c r="V12" s="107"/>
      <c r="X12" s="107" t="s">
        <v>43</v>
      </c>
      <c r="Y12" s="55" t="s">
        <v>21</v>
      </c>
      <c r="Z12" s="55" t="s">
        <v>2</v>
      </c>
      <c r="AA12" s="55" t="s">
        <v>3</v>
      </c>
      <c r="AB12" s="55" t="s">
        <v>4</v>
      </c>
      <c r="AC12" s="55" t="s">
        <v>6</v>
      </c>
      <c r="AD12" s="91" t="s">
        <v>7</v>
      </c>
      <c r="AE12" s="55" t="str">
        <f>+X12</f>
        <v>Average</v>
      </c>
      <c r="AF12" s="113" t="s">
        <v>21</v>
      </c>
      <c r="AG12" s="55" t="s">
        <v>2</v>
      </c>
      <c r="AH12" s="55" t="s">
        <v>3</v>
      </c>
      <c r="AI12" s="55" t="s">
        <v>4</v>
      </c>
      <c r="AJ12" s="55" t="s">
        <v>6</v>
      </c>
      <c r="AK12" s="91" t="s">
        <v>7</v>
      </c>
      <c r="AM12" s="107" t="s">
        <v>43</v>
      </c>
      <c r="AN12" s="121" t="s">
        <v>21</v>
      </c>
      <c r="AO12" s="121" t="s">
        <v>2</v>
      </c>
      <c r="AP12" s="121" t="s">
        <v>3</v>
      </c>
      <c r="AQ12" s="121" t="s">
        <v>4</v>
      </c>
      <c r="AR12" s="121" t="s">
        <v>6</v>
      </c>
      <c r="AS12" s="122" t="s">
        <v>7</v>
      </c>
      <c r="AT12" s="121" t="str">
        <f>+AM12</f>
        <v>Average</v>
      </c>
      <c r="AU12" s="123" t="s">
        <v>21</v>
      </c>
      <c r="AV12" s="121" t="s">
        <v>2</v>
      </c>
      <c r="AW12" s="121" t="s">
        <v>3</v>
      </c>
      <c r="AX12" s="121" t="s">
        <v>4</v>
      </c>
      <c r="AY12" s="121" t="s">
        <v>6</v>
      </c>
      <c r="AZ12" s="122" t="s">
        <v>7</v>
      </c>
    </row>
    <row r="13" spans="2:52" ht="12.75">
      <c r="B13" s="4"/>
      <c r="C13" s="110"/>
      <c r="D13" s="6"/>
      <c r="E13" s="110"/>
      <c r="F13" s="105"/>
      <c r="G13" s="99"/>
      <c r="H13" s="61"/>
      <c r="I13" s="61"/>
      <c r="J13" s="61"/>
      <c r="K13" s="61"/>
      <c r="L13" s="92"/>
      <c r="M13" s="43"/>
      <c r="N13" s="99"/>
      <c r="O13" s="61"/>
      <c r="P13" s="61"/>
      <c r="Q13" s="61"/>
      <c r="R13" s="61"/>
      <c r="S13" s="92"/>
      <c r="V13" s="107"/>
      <c r="X13" s="107"/>
      <c r="Y13" s="61"/>
      <c r="Z13" s="61"/>
      <c r="AA13" s="61"/>
      <c r="AB13" s="61"/>
      <c r="AC13" s="61"/>
      <c r="AD13" s="92"/>
      <c r="AE13" s="61"/>
      <c r="AF13" s="99"/>
      <c r="AG13" s="61"/>
      <c r="AH13" s="61"/>
      <c r="AI13" s="61"/>
      <c r="AJ13" s="61"/>
      <c r="AK13" s="92"/>
      <c r="AM13" s="107"/>
      <c r="AN13" s="61"/>
      <c r="AO13" s="61"/>
      <c r="AP13" s="61"/>
      <c r="AQ13" s="61"/>
      <c r="AR13" s="61"/>
      <c r="AS13" s="92"/>
      <c r="AT13" s="61"/>
      <c r="AU13" s="99"/>
      <c r="AV13" s="61"/>
      <c r="AW13" s="61"/>
      <c r="AX13" s="61"/>
      <c r="AY13" s="61"/>
      <c r="AZ13" s="92"/>
    </row>
    <row r="14" spans="2:39" ht="12.75">
      <c r="B14" s="4"/>
      <c r="C14" s="110"/>
      <c r="D14" s="6"/>
      <c r="E14" s="110"/>
      <c r="F14" s="105"/>
      <c r="G14" s="1"/>
      <c r="H14" s="2"/>
      <c r="I14" s="2"/>
      <c r="J14" s="2"/>
      <c r="K14" s="2"/>
      <c r="L14" s="3"/>
      <c r="M14" s="38"/>
      <c r="N14" s="1"/>
      <c r="O14" s="2"/>
      <c r="P14" s="2"/>
      <c r="Q14" s="2"/>
      <c r="R14" s="2"/>
      <c r="S14" s="3"/>
      <c r="V14" s="107"/>
      <c r="X14" s="107"/>
      <c r="AM14" s="107"/>
    </row>
    <row r="15" spans="2:53" ht="12.75">
      <c r="B15" s="4">
        <f>+'Input - Existing Situation'!F11</f>
        <v>2001</v>
      </c>
      <c r="C15" s="111">
        <f>IF('Input - Existing Situation'!G3&gt;=B15,+'Input - Existing Situation'!F14,0)</f>
        <v>500000</v>
      </c>
      <c r="D15" s="116"/>
      <c r="E15" s="111">
        <f>+IF('Input - Existing Situation'!$G$3&gt;=B15,+'Input - Existing Situation'!F38,SUM(G15:S15))</f>
        <v>350000</v>
      </c>
      <c r="F15" s="118">
        <f>+IF('Input - Existing Situation'!$G$3&gt;=B15,+'Input - Existing Situation'!F27,SUM(G15:T15))</f>
        <v>175000</v>
      </c>
      <c r="G15" s="180">
        <f>+IF('Input - Existing Situation'!$G$3&gt;=B15,+'Input - Existing Situation'!F20,0)</f>
        <v>100000</v>
      </c>
      <c r="H15" s="180">
        <f>+IF('Input - Existing Situation'!$G$3&gt;=B15,+'Input - Existing Situation'!F21,0)</f>
        <v>10000</v>
      </c>
      <c r="I15" s="180">
        <f>+IF('Input - Existing Situation'!$G$3&gt;=B15,+'Input - Existing Situation'!F22,0)</f>
        <v>20000</v>
      </c>
      <c r="J15" s="180">
        <f>+IF('Input - Existing Situation'!$G$3&gt;=B15,+'Input - Existing Situation'!F23,0)</f>
        <v>25000</v>
      </c>
      <c r="K15" s="180">
        <f>+IF('Input - Existing Situation'!$G$3&gt;=B15,+'Input - Existing Situation'!F24,0)</f>
        <v>5000</v>
      </c>
      <c r="L15" s="180">
        <f>+IF('Input - Existing Situation'!$G$3&gt;=B15,+'Input - Existing Situation'!F25,0)</f>
        <v>15000</v>
      </c>
      <c r="M15" s="118">
        <f>+IF('Input - Existing Situation'!$G$3&gt;=B15,+'Input - Existing Situation'!F36,SUM(N15:AA15))</f>
        <v>175000</v>
      </c>
      <c r="N15" s="180">
        <f>+IF('Input - Existing Situation'!$G$3&gt;=B15,+'Input - Existing Situation'!F29,0)</f>
        <v>100000</v>
      </c>
      <c r="O15" s="180">
        <f>+IF('Input - Existing Situation'!$G$3&gt;=B15,+'Input - Existing Situation'!F30,0)</f>
        <v>10000</v>
      </c>
      <c r="P15" s="180">
        <f>+IF('Input - Existing Situation'!$G$3&gt;=B15,+'Input - Existing Situation'!F31,0)</f>
        <v>20000</v>
      </c>
      <c r="Q15" s="180">
        <f>+IF('Input - Existing Situation'!$G$3&gt;=B15,+'Input - Existing Situation'!F32,0)</f>
        <v>25000</v>
      </c>
      <c r="R15" s="180">
        <f>+IF('Input - Existing Situation'!$G$3&gt;=B15,+'Input - Existing Situation'!F33,0)</f>
        <v>5000</v>
      </c>
      <c r="S15" s="180">
        <f>+IF('Input - Existing Situation'!$G$3&gt;=B15,+'Input - Existing Situation'!F34,0)</f>
        <v>15000</v>
      </c>
      <c r="V15" s="107">
        <f>+B15</f>
        <v>2001</v>
      </c>
      <c r="X15" s="107"/>
      <c r="AM15" s="107"/>
      <c r="BA15">
        <f>+SUM(AM15:AZ15)</f>
        <v>0</v>
      </c>
    </row>
    <row r="16" spans="2:53" ht="12.75">
      <c r="B16" s="4">
        <f>+B15+1</f>
        <v>2002</v>
      </c>
      <c r="C16" s="111">
        <f>IF('Input - Existing Situation'!G3&gt;=B16,+'Input - Existing Situation'!G14,0)</f>
        <v>502500</v>
      </c>
      <c r="D16" s="116"/>
      <c r="E16" s="111">
        <f>+IF('Input - Existing Situation'!$G$3&gt;=B16,+'Input - Existing Situation'!G38,SUM(G16:S16))</f>
        <v>365250</v>
      </c>
      <c r="F16" s="118">
        <f>+IF('Input - Existing Situation'!$G$3&gt;=B16,+'Input - Existing Situation'!G27,SUM(G16:T16))</f>
        <v>182625</v>
      </c>
      <c r="G16" s="180">
        <f>+IF('Input - Existing Situation'!$G$3&gt;=B16,+'Input - Existing Situation'!G20,0)</f>
        <v>105000</v>
      </c>
      <c r="H16" s="180">
        <f>+IF('Input - Existing Situation'!$G$3&gt;=B16,+'Input - Existing Situation'!G21,0)</f>
        <v>11000</v>
      </c>
      <c r="I16" s="180">
        <f>+IF('Input - Existing Situation'!$G$3&gt;=B16,+'Input - Existing Situation'!G22,0)</f>
        <v>20500</v>
      </c>
      <c r="J16" s="180">
        <f>+IF('Input - Existing Situation'!$G$3&gt;=B16,+'Input - Existing Situation'!G23,0)</f>
        <v>25500</v>
      </c>
      <c r="K16" s="180">
        <f>+IF('Input - Existing Situation'!$G$3&gt;=B16,+'Input - Existing Situation'!G24,0)</f>
        <v>5250</v>
      </c>
      <c r="L16" s="180">
        <f>+IF('Input - Existing Situation'!$G$3&gt;=B16,+'Input - Existing Situation'!G25,0)</f>
        <v>15375</v>
      </c>
      <c r="M16" s="118">
        <f>+IF('Input - Existing Situation'!$G$3&gt;=B16,+'Input - Existing Situation'!G36,SUM(N16:AA16))</f>
        <v>182625</v>
      </c>
      <c r="N16" s="180">
        <f>+IF('Input - Existing Situation'!$G$3&gt;=B16,+'Input - Existing Situation'!G29,0)</f>
        <v>105000</v>
      </c>
      <c r="O16" s="180">
        <f>+IF('Input - Existing Situation'!$G$3&gt;=B16,+'Input - Existing Situation'!G30,0)</f>
        <v>11000</v>
      </c>
      <c r="P16" s="180">
        <f>+IF('Input - Existing Situation'!$G$3&gt;=B16,+'Input - Existing Situation'!G31,0)</f>
        <v>20500</v>
      </c>
      <c r="Q16" s="180">
        <f>+IF('Input - Existing Situation'!$G$3&gt;=B16,+'Input - Existing Situation'!G32,0)</f>
        <v>25500</v>
      </c>
      <c r="R16" s="180">
        <f>+IF('Input - Existing Situation'!$G$3&gt;=B16,+'Input - Existing Situation'!G33,0)</f>
        <v>5250</v>
      </c>
      <c r="S16" s="180">
        <f>+IF('Input - Existing Situation'!$G$3&gt;=B16,+'Input - Existing Situation'!G34,0)</f>
        <v>15375</v>
      </c>
      <c r="V16" s="107">
        <f>+V15+1</f>
        <v>2002</v>
      </c>
      <c r="X16" s="107"/>
      <c r="AM16" s="107"/>
      <c r="BA16" s="130">
        <f aca="true" t="shared" si="0" ref="BA16:BA54">+SUM(AM16:AZ16)</f>
        <v>0</v>
      </c>
    </row>
    <row r="17" spans="2:53" ht="12.75">
      <c r="B17" s="4">
        <f aca="true" t="shared" si="1" ref="B17:B49">+B16+1</f>
        <v>2003</v>
      </c>
      <c r="C17" s="111">
        <f>IF('Input - Existing Situation'!G3&gt;=B17,+'Input - Existing Situation'!H14,0)</f>
        <v>505000</v>
      </c>
      <c r="D17" s="116"/>
      <c r="E17" s="111">
        <f>+IF('Input - Existing Situation'!$G$3&gt;=B17,+'Input - Existing Situation'!H38,SUM(G17:S17))</f>
        <v>380500</v>
      </c>
      <c r="F17" s="118">
        <f>+IF('Input - Existing Situation'!$G$3&gt;=B17,+'Input - Existing Situation'!H27,SUM(G17:L17))</f>
        <v>190250</v>
      </c>
      <c r="G17" s="180">
        <f>+IF('Input - Existing Situation'!$G$3&gt;=B17,+'Input - Existing Situation'!H20,0)</f>
        <v>110000</v>
      </c>
      <c r="H17" s="180">
        <f>+IF('Input - Existing Situation'!$G$3&gt;=B17,+'Input - Existing Situation'!H21,0)</f>
        <v>12000</v>
      </c>
      <c r="I17" s="180">
        <f>+IF('Input - Existing Situation'!$G$3&gt;=B17,+'Input - Existing Situation'!H22,0)</f>
        <v>21000</v>
      </c>
      <c r="J17" s="180">
        <f>+IF('Input - Existing Situation'!$G$3&gt;=B17,+'Input - Existing Situation'!H23,0)</f>
        <v>26000</v>
      </c>
      <c r="K17" s="180">
        <f>+IF('Input - Existing Situation'!$G$3&gt;=B17,+'Input - Existing Situation'!H24,0)</f>
        <v>5500</v>
      </c>
      <c r="L17" s="180">
        <f>+IF('Input - Existing Situation'!$G$3&gt;=B17,+'Input - Existing Situation'!H25,0)</f>
        <v>15750</v>
      </c>
      <c r="M17" s="118">
        <f>+IF('Input - Existing Situation'!$G$3&gt;=B17,+'Input - Existing Situation'!H36,SUM(N17:S17))</f>
        <v>190250</v>
      </c>
      <c r="N17" s="180">
        <f>+IF('Input - Existing Situation'!$G$3&gt;=B17,+'Input - Existing Situation'!H29,0)</f>
        <v>110000</v>
      </c>
      <c r="O17" s="180">
        <f>+IF('Input - Existing Situation'!$G$3&gt;=B17,+'Input - Existing Situation'!H30,1)</f>
        <v>12000</v>
      </c>
      <c r="P17" s="180">
        <f>+IF('Input - Existing Situation'!$G$3&gt;=B17,+'Input - Existing Situation'!H31,0)</f>
        <v>21000</v>
      </c>
      <c r="Q17" s="180">
        <f>+IF('Input - Existing Situation'!$G$3&gt;=B17,+'Input - Existing Situation'!H32,0)</f>
        <v>26000</v>
      </c>
      <c r="R17" s="180">
        <f>+IF('Input - Existing Situation'!$G$3&gt;=B17,+'Input - Existing Situation'!H33,0)</f>
        <v>5500</v>
      </c>
      <c r="S17" s="180">
        <f>+IF('Input - Existing Situation'!$G$3&gt;=B17,+'Input - Existing Situation'!H34,0)</f>
        <v>15750</v>
      </c>
      <c r="V17" s="107">
        <f aca="true" t="shared" si="2" ref="V17:V49">+V16+1</f>
        <v>2003</v>
      </c>
      <c r="X17" s="107"/>
      <c r="AM17" s="107"/>
      <c r="BA17" s="130">
        <f t="shared" si="0"/>
        <v>0</v>
      </c>
    </row>
    <row r="18" spans="2:53" ht="12.75">
      <c r="B18" s="4">
        <f t="shared" si="1"/>
        <v>2004</v>
      </c>
      <c r="C18" s="111">
        <f>IF('Input - Existing Situation'!G3&gt;=B18,+'Input - Existing Situation'!I14,0)</f>
        <v>507500</v>
      </c>
      <c r="D18" s="116"/>
      <c r="E18" s="111">
        <f>+IF('Input - Existing Situation'!$G$3&gt;=B18,+'Input - Existing Situation'!I38,SUM(G18:S18))</f>
        <v>395750</v>
      </c>
      <c r="F18" s="118">
        <f>+IF('Input - Existing Situation'!$G$3&gt;=B18,+'Input - Existing Situation'!I27,SUM(G18:L18))</f>
        <v>197875</v>
      </c>
      <c r="G18" s="180">
        <f>+IF('Input - Existing Situation'!$G$3&gt;=B18,+'Input - Existing Situation'!I20,0)</f>
        <v>115000</v>
      </c>
      <c r="H18" s="180">
        <f>+IF('Input - Existing Situation'!$G$3&gt;=B18,+'Input - Existing Situation'!I21,0)</f>
        <v>13000</v>
      </c>
      <c r="I18" s="180">
        <f>+IF('Input - Existing Situation'!$G$3&gt;=B18,+'Input - Existing Situation'!I22,0)</f>
        <v>21500</v>
      </c>
      <c r="J18" s="180">
        <f>+IF('Input - Existing Situation'!$G$3&gt;=B18,+'Input - Existing Situation'!I23,0)</f>
        <v>26500</v>
      </c>
      <c r="K18" s="180">
        <f>+IF('Input - Existing Situation'!$G$3&gt;=B18,+'Input - Existing Situation'!I24,0)</f>
        <v>5750</v>
      </c>
      <c r="L18" s="180">
        <f>+IF('Input - Existing Situation'!$G$3&gt;=B18,+'Input - Existing Situation'!I25,0)</f>
        <v>16125</v>
      </c>
      <c r="M18" s="118">
        <f>+IF('Input - Existing Situation'!$G$3&gt;=B18,+'Input - Existing Situation'!I36,SUM(N18:S18))</f>
        <v>197875</v>
      </c>
      <c r="N18" s="180">
        <f>+IF('Input - Existing Situation'!$G$3&gt;=B18,+'Input - Existing Situation'!I29,0)</f>
        <v>115000</v>
      </c>
      <c r="O18" s="180">
        <f>+IF('Input - Existing Situation'!$G$3&gt;=B18,+'Input - Existing Situation'!I30,0)</f>
        <v>13000</v>
      </c>
      <c r="P18" s="180">
        <f>+IF('Input - Existing Situation'!$G$3&gt;=B18,+'Input - Existing Situation'!I31,0)</f>
        <v>21500</v>
      </c>
      <c r="Q18" s="180">
        <f>+IF('Input - Existing Situation'!$G$3&gt;=B18,+'Input - Existing Situation'!I32,0)</f>
        <v>26500</v>
      </c>
      <c r="R18" s="180">
        <f>+IF('Input - Existing Situation'!$G$3&gt;=B18,+'Input - Existing Situation'!I33,0)</f>
        <v>5750</v>
      </c>
      <c r="S18" s="180">
        <f>+IF('Input - Existing Situation'!$G$3&gt;=B18,+'Input - Existing Situation'!I34,0)</f>
        <v>16125</v>
      </c>
      <c r="V18" s="107">
        <f t="shared" si="2"/>
        <v>2004</v>
      </c>
      <c r="X18" s="107"/>
      <c r="AM18" s="107"/>
      <c r="BA18" s="130">
        <f t="shared" si="0"/>
        <v>0</v>
      </c>
    </row>
    <row r="19" spans="2:53" ht="12.75">
      <c r="B19" s="4">
        <f t="shared" si="1"/>
        <v>2005</v>
      </c>
      <c r="C19" s="111">
        <f>IF('Input - Existing Situation'!G3&gt;=B19,+'Input - Existing Situation'!J14,0)</f>
        <v>510000</v>
      </c>
      <c r="D19" s="116"/>
      <c r="E19" s="111">
        <f>+IF('Input - Existing Situation'!$G$3&gt;=B19,+'Input - Existing Situation'!J38,SUM(G19:S19))</f>
        <v>411000</v>
      </c>
      <c r="F19" s="118">
        <f>+IF('Input - Existing Situation'!$G$3&gt;=B19,+'Input - Existing Situation'!J27,SUM(G19:L19))</f>
        <v>205500</v>
      </c>
      <c r="G19" s="180">
        <f>+IF('Input - Existing Situation'!$G$3&gt;=B19,+'Input - Existing Situation'!J20,0)</f>
        <v>120000</v>
      </c>
      <c r="H19" s="180">
        <f>+IF('Input - Existing Situation'!$G$3&gt;=B19,+'Input - Existing Situation'!J21,0)</f>
        <v>14000</v>
      </c>
      <c r="I19" s="180">
        <f>+IF('Input - Existing Situation'!$G$3&gt;=B19,+'Input - Existing Situation'!J22,0)</f>
        <v>22000</v>
      </c>
      <c r="J19" s="180">
        <f>+IF('Input - Existing Situation'!$G$3&gt;=B19,+'Input - Existing Situation'!J23,0)</f>
        <v>27000</v>
      </c>
      <c r="K19" s="180">
        <f>+IF('Input - Existing Situation'!$G$3&gt;=B19,+'Input - Existing Situation'!J24,0)</f>
        <v>6000</v>
      </c>
      <c r="L19" s="180">
        <f>+IF('Input - Existing Situation'!$G$3&gt;=B19,+'Input - Existing Situation'!J25,0)</f>
        <v>16500</v>
      </c>
      <c r="M19" s="118">
        <f>+IF('Input - Existing Situation'!$G$3&gt;=B19,+'Input - Existing Situation'!I36,SUM(N19:S19))</f>
        <v>197875</v>
      </c>
      <c r="N19" s="180">
        <f>+IF('Input - Existing Situation'!$G$3&gt;=B19,+'Input - Existing Situation'!J29,0)</f>
        <v>120000</v>
      </c>
      <c r="O19" s="180">
        <f>+IF('Input - Existing Situation'!$G$3&gt;=B19,+'Input - Existing Situation'!J30,0)</f>
        <v>14000</v>
      </c>
      <c r="P19" s="180">
        <f>+IF('Input - Existing Situation'!$G$3&gt;=B19,+'Input - Existing Situation'!J31,0)</f>
        <v>22000</v>
      </c>
      <c r="Q19" s="180">
        <f>+IF('Input - Existing Situation'!$G$3&gt;=B19,+'Input - Existing Situation'!J32,0)</f>
        <v>27000</v>
      </c>
      <c r="R19" s="180">
        <f>+IF('Input - Existing Situation'!$G$3&gt;=B19,+'Input - Existing Situation'!J33,0)</f>
        <v>6000</v>
      </c>
      <c r="S19" s="180">
        <f>+IF('Input - Existing Situation'!$G$3&gt;=B19,+'Input - Existing Situation'!J34,0)</f>
        <v>16500</v>
      </c>
      <c r="V19" s="107">
        <f t="shared" si="2"/>
        <v>2005</v>
      </c>
      <c r="X19" s="107"/>
      <c r="AM19" s="107"/>
      <c r="BA19" s="130">
        <f t="shared" si="0"/>
        <v>0</v>
      </c>
    </row>
    <row r="20" spans="2:53" ht="12.75">
      <c r="B20" s="4">
        <f t="shared" si="1"/>
        <v>2006</v>
      </c>
      <c r="C20" s="111">
        <f>IF('Input - Existing Situation'!G3&gt;=B20,+'Input - Existing Situation'!J14,0)</f>
        <v>510000</v>
      </c>
      <c r="D20" s="116"/>
      <c r="E20" s="111">
        <f>+IF('Input - Existing Situation'!$G$3&gt;=B20,+'Input - Existing Situation'!K38,SUM(G20:S20))</f>
        <v>426250</v>
      </c>
      <c r="F20" s="118">
        <f>+IF('Input - Existing Situation'!$G$3&gt;=B20,+'Input - Existing Situation'!K27,SUM(G20:L20))</f>
        <v>213125</v>
      </c>
      <c r="G20" s="180">
        <f>+IF('Input - Existing Situation'!$G$3&gt;=B20,+'Input - Existing Situation'!K20,+'Input - Projection Parameters'!E85*Calculations!E20)</f>
        <v>125000</v>
      </c>
      <c r="H20" s="180">
        <f>+IF('Input - Existing Situation'!$G$3&gt;=C20,+'Input - Existing Situation'!K20,+'Input - Projection Parameters'!E86*Calculations!E20)</f>
        <v>15000.000000000002</v>
      </c>
      <c r="I20" s="180">
        <f>+IF('Input - Existing Situation'!$G$3&gt;=C20,+'Input - Existing Situation'!K22,+'Input - Projection Parameters'!E87*Calculations!E20)</f>
        <v>22500</v>
      </c>
      <c r="J20" s="180">
        <f>+IF('Input - Existing Situation'!$G$3&gt;=D20,+'Input - Existing Situation'!K23,+'Input - Projection Parameters'!E88*Calculations!E20)</f>
        <v>27500</v>
      </c>
      <c r="K20" s="180">
        <f>+IF('Input - Existing Situation'!$G$3&gt;=E20,+'Input - Existing Situation'!K24,+'Input - Projection Parameters'!E89*Calculations!E21)</f>
        <v>6404.372391584188</v>
      </c>
      <c r="L20" s="180">
        <f>+IF('Input - Existing Situation'!$G$3&gt;=B20,+'Input - Existing Situation'!K25,+'Input - Projection Parameters'!E90*Calculations!E22)</f>
        <v>16875</v>
      </c>
      <c r="M20" s="118">
        <f>+IF('Input - Existing Situation'!$G$3&gt;=B20,+'Input - Existing Situation'!K36,SUM(N20:S20))</f>
        <v>213125</v>
      </c>
      <c r="N20" s="180">
        <f>+IF('Input - Existing Situation'!$G$3&gt;=B20,+'Input - Existing Situation'!K29,+'Input - Projection Parameters'!E94*Calculations!E20)</f>
        <v>125000</v>
      </c>
      <c r="O20" s="180">
        <f>+IF('Input - Existing Situation'!$G$3&gt;=C20,+'Input - Existing Situation'!L29,+'Input - Projection Parameters'!E95*Calculations!E20)</f>
        <v>15000.000000000002</v>
      </c>
      <c r="P20" s="180">
        <f>+IF('Input - Existing Situation'!$G$3&gt;=B20,+'Input - Existing Situation'!K31,+'Input - Projection Parameters'!E95*Calculations!E21)</f>
        <v>22500</v>
      </c>
      <c r="Q20" s="180">
        <f>+IF('Input - Existing Situation'!$G$3&gt;=B20,+'Input - Existing Situation'!K32,+'Input - Projection Parameters'!E95*Calculations!E22)</f>
        <v>27500</v>
      </c>
      <c r="R20" s="180">
        <f>+IF('Input - Existing Situation'!$G$3&gt;=B20,+'Input - Existing Situation'!K33,+'Input - Projection Parameters'!E95*Calculations!E23)</f>
        <v>6250</v>
      </c>
      <c r="S20" s="180">
        <f>+IF('Input - Existing Situation'!$G$3&gt;=C20,+'Input - Existing Situation'!K34,+'Input - Projection Parameters'!E95*Calculations!E24)</f>
        <v>16111.481219406154</v>
      </c>
      <c r="V20" s="107">
        <f t="shared" si="2"/>
        <v>2006</v>
      </c>
      <c r="X20" s="107">
        <f>IF('Input - Projection Parameters'!A34=1,+'Input - Projection Parameters'!F48,+'Input - Projection Parameters'!I48)</f>
        <v>0</v>
      </c>
      <c r="Y20" s="107">
        <f>IF('Input - Projection Parameters'!A34=1,+'Input - Projection Parameters'!F49,+'Input - Projection Parameters'!I49)</f>
        <v>120</v>
      </c>
      <c r="Z20" s="107">
        <f>IF('Input - Projection Parameters'!A34=1,+'Input - Projection Parameters'!F50,+'Input - Projection Parameters'!I50)</f>
        <v>150.00000000000003</v>
      </c>
      <c r="AA20" s="107">
        <f>IF('Input - Projection Parameters'!A34=1,+'Input - Projection Parameters'!F51,+'Input - Projection Parameters'!I51)</f>
        <v>135</v>
      </c>
      <c r="AB20" s="107">
        <f>IF('Input - Projection Parameters'!A34=1,+'Input - Projection Parameters'!F52,+'Input - Projection Parameters'!I52)</f>
        <v>125.00000000000003</v>
      </c>
      <c r="AC20" s="107">
        <f>IF('Input - Projection Parameters'!A34=1,+'Input - Projection Parameters'!IF53,+'Input - Projection Parameters'!I53)</f>
        <v>80</v>
      </c>
      <c r="AD20" s="107">
        <f>IF('Input - Projection Parameters'!A34=1,+'Input - Projection Parameters'!IF54,+'Input - Projection Parameters'!I54)</f>
        <v>49.99999999999999</v>
      </c>
      <c r="AE20" s="107">
        <f>IF('Input - Projection Parameters'!A34=1,+'Input - Projection Parameters'!G48,+'Input - Projection Parameters'!J48)</f>
        <v>0</v>
      </c>
      <c r="AF20" s="107">
        <f>IF('Input - Projection Parameters'!A34=1,+'Input - Projection Parameters'!G49,+'Input - Projection Parameters'!J49)</f>
        <v>199.99999999999997</v>
      </c>
      <c r="AG20" s="107">
        <f>IF('Input - Projection Parameters'!A34=1,+'Input - Projection Parameters'!G50,+'Input - Projection Parameters'!J50)</f>
        <v>250.00000000000006</v>
      </c>
      <c r="AH20" s="107">
        <f>IF('Input - Projection Parameters'!A34=1,+'Input - Projection Parameters'!G51,+'Input - Projection Parameters'!J51)</f>
        <v>175.00000000000003</v>
      </c>
      <c r="AI20" s="107">
        <f>IF('Input - Projection Parameters'!A34=1,+'Input - Projection Parameters'!G52,+'Input - Projection Parameters'!J52)</f>
        <v>195</v>
      </c>
      <c r="AJ20" s="107">
        <f>IF('Input - Projection Parameters'!A34=1,+'Input - Projection Parameters'!IG53,+'Input - Projection Parameters'!J53)</f>
        <v>70</v>
      </c>
      <c r="AK20" s="107">
        <f>IF('Input - Projection Parameters'!A34=1,+'Input - Projection Parameters'!IG54,+'Input - Projection Parameters'!J54)</f>
        <v>60</v>
      </c>
      <c r="AM20" s="107">
        <f>IF('Input - Projection Parameters'!A30=1,+Calculations!F20*Calculations!X20*365/1000/1000000,0)</f>
        <v>0</v>
      </c>
      <c r="AN20" s="120">
        <f>IF('Input - Projection Parameters'!$A$30=2,+Calculations!G20*Calculations!Y20*365/1000/1000000,0)</f>
        <v>5.475</v>
      </c>
      <c r="AO20" s="120">
        <f>IF('Input - Projection Parameters'!$A$30=2,+Calculations!H20*Calculations!Z20*365/1000/1000000,0)</f>
        <v>0.8212500000000004</v>
      </c>
      <c r="AP20" s="120">
        <f>IF('Input - Projection Parameters'!$A$30=2,+Calculations!I20*Calculations!AA20*365/1000/1000000,0)</f>
        <v>1.1086875</v>
      </c>
      <c r="AQ20" s="120">
        <f>IF('Input - Projection Parameters'!$A$30=2,+Calculations!J20*Calculations!AB20*365/1000/1000000,0)</f>
        <v>1.2546875000000002</v>
      </c>
      <c r="AR20" s="120">
        <f>IF('Input - Projection Parameters'!$A$30=2,+Calculations!K20*Calculations!AC20*365/1000/1000000,0)</f>
        <v>0.1870076738342583</v>
      </c>
      <c r="AS20" s="120">
        <f>IF('Input - Projection Parameters'!$A$30=2,+Calculations!L20*Calculations!AD20*365/1000/1000000,0)</f>
        <v>0.30796874999999996</v>
      </c>
      <c r="AT20" s="120">
        <f>IF('Input - Projection Parameters'!$A$30=1,+Calculations!M20*Calculations!AE20*365/1000/1000000,0)</f>
        <v>0</v>
      </c>
      <c r="AU20" s="120">
        <f>IF('Input - Projection Parameters'!$A$30=2,+Calculations!N20*Calculations!AF20*365/1000/1000000,0)</f>
        <v>9.124999999999998</v>
      </c>
      <c r="AV20" s="120">
        <f>IF('Input - Projection Parameters'!$A$30=2,+Calculations!O20*Calculations!AG20*365/1000/1000000,0)</f>
        <v>1.3687500000000004</v>
      </c>
      <c r="AW20" s="120">
        <f>IF('Input - Projection Parameters'!$A$30=2,+Calculations!P20*Calculations!AH20*365/1000/1000000,0)</f>
        <v>1.4371875000000003</v>
      </c>
      <c r="AX20" s="120">
        <f>IF('Input - Projection Parameters'!$A$30=2,+Calculations!Q20*Calculations!AI20*365/1000/1000000,0)</f>
        <v>1.9573125</v>
      </c>
      <c r="AY20" s="120">
        <f>IF('Input - Projection Parameters'!$A$30=2,+Calculations!R20*Calculations!AJ20*365/1000/1000000,0)</f>
        <v>0.1596875</v>
      </c>
      <c r="AZ20" s="120">
        <f>IF('Input - Projection Parameters'!$A$30=2,+Calculations!S20*Calculations!AK20*365/1000/1000000,0)</f>
        <v>0.3528414387049948</v>
      </c>
      <c r="BA20" s="130">
        <f t="shared" si="0"/>
        <v>23.555380362539253</v>
      </c>
    </row>
    <row r="21" spans="2:53" ht="12.75">
      <c r="B21" s="4">
        <f t="shared" si="1"/>
        <v>2007</v>
      </c>
      <c r="C21" s="111">
        <f>IF('Input - Existing Situation'!G3&gt;=B21,+'Input - Existing Situation'!H14,+C20*(1+'Input - Projection Parameters'!I6))</f>
        <v>515100</v>
      </c>
      <c r="D21" s="116"/>
      <c r="E21" s="111">
        <f>+IF('Input - Existing Situation'!$G$3&gt;=B21,+'Input - Existing Situation'!L38,+(E24-E20)/COUNT(B22:B24)+E20)</f>
        <v>436778.1971060416</v>
      </c>
      <c r="F21" s="118">
        <f>+IF('Input - Existing Situation'!$G$3&gt;=C21,+'Input - Existing Situation'!L27,+(F24-F20)/COUNT(C22:C24)+F20)</f>
        <v>226019.67507498956</v>
      </c>
      <c r="G21" s="180">
        <f>+(G24-G20)/COUNT(B21:B24)+G20</f>
        <v>133810.52674033592</v>
      </c>
      <c r="H21" s="180">
        <f>+(H24-H20)/COUNT(B21:B24)+H20</f>
        <v>16972.932391476563</v>
      </c>
      <c r="I21" s="180">
        <f>+(I24-I20)/COUNT(B21:B24)+I20</f>
        <v>20308.759434885935</v>
      </c>
      <c r="J21" s="180">
        <f>+(J24-J20)/COUNT(C21:C24)+J20</f>
        <v>22914.172956590624</v>
      </c>
      <c r="K21" s="180">
        <f>+(K24-K20)/COUNT(B21:B24)+K20</f>
        <v>5947.865771983454</v>
      </c>
      <c r="L21" s="180">
        <f>+(L24-L20)/COUNT(C21:C24)+L20</f>
        <v>17234.59591318125</v>
      </c>
      <c r="M21" s="118">
        <f>+IF('Input - Existing Situation'!$G$3&gt;=B21,+'Input - Existing Situation'!S27,+(M24-M20)/COUNT(B22:B24)+M20)</f>
        <v>222877.6729777083</v>
      </c>
      <c r="N21" s="180">
        <f>+(N24-N20)/COUNT(I21:I24)+N20</f>
        <v>133810.52674033592</v>
      </c>
      <c r="O21" s="180">
        <f>+(O24-O20)/COUNT(J21:J24)+O20</f>
        <v>15828.34591318125</v>
      </c>
      <c r="P21" s="180">
        <f>+(P24-P20)/COUNT(K21:K24)+P20</f>
        <v>22597.932391476563</v>
      </c>
      <c r="Q21" s="180">
        <f>+(Q24-Q20)/COUNT(L21:L24)+Q20</f>
        <v>25203.34591318125</v>
      </c>
      <c r="R21" s="180">
        <f>+(R24-R20)/COUNT(M21:M24)+R20</f>
        <v>5832.086478295312</v>
      </c>
      <c r="S21" s="180">
        <f>+(S24-S20)/COUNT(N21:N24)+S20</f>
        <v>13228.197392849928</v>
      </c>
      <c r="V21" s="107">
        <f t="shared" si="2"/>
        <v>2007</v>
      </c>
      <c r="X21" s="107">
        <f>+X20*(1+'Input - Projection Parameters'!$I$12)^'Input - Projection Parameters'!$F$19*(1+'Input - Projection Parameters'!$I$8)^'Input - Projection Parameters'!$F$20</f>
        <v>0</v>
      </c>
      <c r="Y21" s="117">
        <f>+Y20*(1+'Input - Projection Parameters'!$I$12)^'Input - Projection Parameters'!$F$19*(1+'Input - Projection Parameters'!$I$8)^'Input - Projection Parameters'!$F$20</f>
        <v>120.5145370470427</v>
      </c>
      <c r="Z21" s="117">
        <f>+Z20*(1+'Input - Projection Parameters'!$I$12)^'Input - Projection Parameters'!$F$19*(1+'Input - Projection Parameters'!$I$8)^'Input - Projection Parameters'!$F$20</f>
        <v>150.6431713088034</v>
      </c>
      <c r="AA21" s="117">
        <f>+AA20*(1+'Input - Projection Parameters'!$I$12)^'Input - Projection Parameters'!$F$19*(1+'Input - Projection Parameters'!$I$8)^'Input - Projection Parameters'!$F$20</f>
        <v>135.57885417792303</v>
      </c>
      <c r="AB21" s="117">
        <f>+AB20*(1+'Input - Projection Parameters'!$I$12)^'Input - Projection Parameters'!$F$19*(1+'Input - Projection Parameters'!$I$8)^'Input - Projection Parameters'!$F$20</f>
        <v>125.53597609066951</v>
      </c>
      <c r="AC21" s="117">
        <f>+AC20*(1+'Input - Projection Parameters'!$I$12)^'Input - Projection Parameters'!$F$19*(1+'Input - Projection Parameters'!$I$8)^'Input - Projection Parameters'!$F$20</f>
        <v>80.34302469802847</v>
      </c>
      <c r="AD21" s="117">
        <f>+AD20*(1+'Input - Projection Parameters'!$I$12)^'Input - Projection Parameters'!$F$19*(1+'Input - Projection Parameters'!$I$8)^'Input - Projection Parameters'!$F$20</f>
        <v>50.214390436267784</v>
      </c>
      <c r="AE21" s="117">
        <f>+AE20*(1+'Input - Projection Parameters'!$I$8)^'Input - Projection Parameters'!$F$20</f>
        <v>0</v>
      </c>
      <c r="AF21" s="117">
        <f>+AF20*(1+'Input - Projection Parameters'!$I$8)^'Input - Projection Parameters'!$F$20</f>
        <v>201.698729861394</v>
      </c>
      <c r="AG21" s="117">
        <f>+AG20*(1+'Input - Projection Parameters'!$I$8)^'Input - Projection Parameters'!$F$20</f>
        <v>252.12341232674262</v>
      </c>
      <c r="AH21" s="117">
        <f>+AH20*(1+'Input - Projection Parameters'!$I$8)^'Input - Projection Parameters'!$F$20</f>
        <v>176.48638862871982</v>
      </c>
      <c r="AI21" s="117">
        <f>+AI20*(1+'Input - Projection Parameters'!$I$8)^'Input - Projection Parameters'!$F$20</f>
        <v>196.6562616148592</v>
      </c>
      <c r="AJ21" s="117">
        <f>+AJ20*(1+'Input - Projection Parameters'!$I$8)^'Input - Projection Parameters'!$F$20</f>
        <v>70.59455545148792</v>
      </c>
      <c r="AK21" s="117">
        <f>+AK20*(1+'Input - Projection Parameters'!$I$8)^'Input - Projection Parameters'!$F$20</f>
        <v>60.509618958418216</v>
      </c>
      <c r="AM21" s="107">
        <f>IF('Input - Projection Parameters'!A31=1,+Calculations!F21*Calculations!X21*365/1000/1000000,0)</f>
        <v>0</v>
      </c>
      <c r="AN21" s="120">
        <f>IF('Input - Projection Parameters'!$A$30=2,+Calculations!G21*Calculations!Y21*365/1000/1000000,0)</f>
        <v>5.886031493978367</v>
      </c>
      <c r="AO21" s="120">
        <f>IF('Input - Projection Parameters'!$A$30=2,+Calculations!H21*Calculations!Z21*365/1000/1000000,0)</f>
        <v>0.9332525720796088</v>
      </c>
      <c r="AP21" s="120">
        <f>IF('Input - Projection Parameters'!$A$30=2,+Calculations!I21*Calculations!AA21*365/1000/1000000,0)</f>
        <v>1.0050049918942754</v>
      </c>
      <c r="AQ21" s="120">
        <f>IF('Input - Projection Parameters'!$A$30=2,+Calculations!J21*Calculations!AB21*365/1000/1000000,0)</f>
        <v>1.0499418699718497</v>
      </c>
      <c r="AR21" s="120">
        <f>IF('Input - Projection Parameters'!$A$30=2,+Calculations!K21*Calculations!AC21*365/1000/1000000,0)</f>
        <v>0.17442237721594406</v>
      </c>
      <c r="AS21" s="120">
        <f>IF('Input - Projection Parameters'!$A$30=2,+Calculations!L21*Calculations!AD21*365/1000/1000000,0)</f>
        <v>0.31588002579146274</v>
      </c>
      <c r="AT21" s="120">
        <f>IF('Input - Projection Parameters'!$A$30=1,+Calculations!M21*Calculations!AE21*365/1000/1000000,0)</f>
        <v>0</v>
      </c>
      <c r="AU21" s="120">
        <f>IF('Input - Projection Parameters'!$A$30=2,+Calculations!N21*Calculations!AF21*365/1000/1000000,0)</f>
        <v>9.851135849247598</v>
      </c>
      <c r="AV21" s="120">
        <f>IF('Input - Projection Parameters'!$A$30=2,+Calculations!O21*Calculations!AG21*365/1000/1000000,0)</f>
        <v>1.4566042528385477</v>
      </c>
      <c r="AW21" s="120">
        <f>IF('Input - Projection Parameters'!$A$30=2,+Calculations!P21*Calculations!AH21*365/1000/1000000,0)</f>
        <v>1.455703029560399</v>
      </c>
      <c r="AX21" s="120">
        <f>IF('Input - Projection Parameters'!$A$30=2,+Calculations!Q21*Calculations!AI21*365/1000/1000000,0)</f>
        <v>1.8090844624274132</v>
      </c>
      <c r="AY21" s="120">
        <f>IF('Input - Projection Parameters'!$A$30=2,+Calculations!R21*Calculations!AJ21*365/1000/1000000,0)</f>
        <v>0.15027544658581032</v>
      </c>
      <c r="AZ21" s="120">
        <f>IF('Input - Projection Parameters'!$A$30=2,+Calculations!S21*Calculations!AK21*365/1000/1000000,0)</f>
        <v>0.292158112068053</v>
      </c>
      <c r="BA21" s="130">
        <f t="shared" si="0"/>
        <v>24.37949448365933</v>
      </c>
    </row>
    <row r="22" spans="2:53" ht="12.75">
      <c r="B22" s="4">
        <f t="shared" si="1"/>
        <v>2008</v>
      </c>
      <c r="C22" s="111">
        <f>+C21*(1+'Input - Projection Parameters'!J6)</f>
        <v>522826.49999999994</v>
      </c>
      <c r="D22" s="116"/>
      <c r="E22" s="111">
        <f>+IF('Input - Existing Situation'!$G$3&gt;=B22,+'Input - Existing Situation'!M38,+(E24-E21)/COUNT(B22:B24)+E21)</f>
        <v>443796.99517673603</v>
      </c>
      <c r="F22" s="118">
        <f>+IF('Input - Existing Situation'!$G$3&gt;=C22,+'Input - Existing Situation'!M27,+(F24-F21)/COUNT(C22:C24)+F21)</f>
        <v>234616.1251249826</v>
      </c>
      <c r="G22" s="180">
        <f>+(G24-G20)/COUNT(B21:B24)+G21</f>
        <v>142621.05348067184</v>
      </c>
      <c r="H22" s="180">
        <f>+(H24-H20)/COUNT(B21:B24)+H21</f>
        <v>18945.864782953122</v>
      </c>
      <c r="I22" s="180">
        <f>+(I24-I20)/COUNT(B21:B24)+I21</f>
        <v>18117.51886977187</v>
      </c>
      <c r="J22" s="180">
        <f>+(J24-J20)/COUNT(C21:C24)+J21</f>
        <v>18328.34591318125</v>
      </c>
      <c r="K22" s="180">
        <f>+(K24-K20)/COUNT(B21:B24)+K21</f>
        <v>5491.359152382719</v>
      </c>
      <c r="L22" s="180">
        <f>+(L24-L20)/COUNT(C21:C24)+L21</f>
        <v>17594.191826362498</v>
      </c>
      <c r="M22" s="118">
        <f>+IF('Input - Existing Situation'!$G$3&gt;=B22,+'Input - Existing Situation'!T27,+(M24-M21)/COUNT(B22:B24)+M21)</f>
        <v>229379.45496284717</v>
      </c>
      <c r="N22" s="180">
        <f>+(N24-N20)/COUNT(I21:I24)+N21</f>
        <v>142621.05348067184</v>
      </c>
      <c r="O22" s="180">
        <f>+(O24-O20)/COUNT(J21:J24)+O21</f>
        <v>16656.691826362498</v>
      </c>
      <c r="P22" s="180">
        <f>+(P24-P20)/COUNT(K21:K24)+P21</f>
        <v>22695.864782953126</v>
      </c>
      <c r="Q22" s="180">
        <f>+(Q24-Q20)/COUNT(L21:L24)+Q21</f>
        <v>22906.691826362498</v>
      </c>
      <c r="R22" s="180">
        <f>+(R24-R20)/COUNT(M21:M24)+R21</f>
        <v>5414.172956590624</v>
      </c>
      <c r="S22" s="180">
        <f>+(S24-S20)/COUNT(N21:N24)+S21</f>
        <v>10344.913566293702</v>
      </c>
      <c r="V22" s="107">
        <f t="shared" si="2"/>
        <v>2008</v>
      </c>
      <c r="X22" s="107">
        <f>+X21*(1+'Input - Projection Parameters'!$J$12)^'Input - Projection Parameters'!$F$19*(1+'Input - Projection Parameters'!$J$8)^'Input - Projection Parameters'!$F$20</f>
        <v>0</v>
      </c>
      <c r="Y22" s="117">
        <f>+Y21*(1+'Input - Projection Parameters'!$J$12)^'Input - Projection Parameters'!$F$19*(1+'Input - Projection Parameters'!$J$8)^'Input - Projection Parameters'!$F$20</f>
        <v>121.28855861038606</v>
      </c>
      <c r="Z22" s="117">
        <f>+Z21*(1+'Input - Projection Parameters'!$J$12)^'Input - Projection Parameters'!$F$19*(1+'Input - Projection Parameters'!$J$8)^'Input - Projection Parameters'!$F$20</f>
        <v>151.6106982629826</v>
      </c>
      <c r="AA22" s="117">
        <f>+AA21*(1+'Input - Projection Parameters'!$J$12)^'Input - Projection Parameters'!$F$19*(1+'Input - Projection Parameters'!$J$8)^'Input - Projection Parameters'!$F$20</f>
        <v>136.4496284366843</v>
      </c>
      <c r="AB22" s="117">
        <f>+AB21*(1+'Input - Projection Parameters'!$J$12)^'Input - Projection Parameters'!$F$19*(1+'Input - Projection Parameters'!$J$8)^'Input - Projection Parameters'!$F$20</f>
        <v>126.3422485524855</v>
      </c>
      <c r="AC22" s="117">
        <f>+AC21*(1+'Input - Projection Parameters'!$J$12)^'Input - Projection Parameters'!$F$19*(1+'Input - Projection Parameters'!$J$8)^'Input - Projection Parameters'!$F$20</f>
        <v>80.85903907359071</v>
      </c>
      <c r="AD22" s="117">
        <f>+AD21*(1+'Input - Projection Parameters'!$J$12)^'Input - Projection Parameters'!$F$19*(1+'Input - Projection Parameters'!$J$8)^'Input - Projection Parameters'!$F$20</f>
        <v>50.53689942099418</v>
      </c>
      <c r="AE22" s="117">
        <f>+AE21*(1+'Input - Projection Parameters'!$J$8)^'Input - Projection Parameters'!$F$20</f>
        <v>0</v>
      </c>
      <c r="AF22" s="117">
        <f>+AF21*(1+'Input - Projection Parameters'!$J$8)^'Input - Projection Parameters'!$F$20</f>
        <v>204.26751205351962</v>
      </c>
      <c r="AG22" s="117">
        <f>+AG21*(1+'Input - Projection Parameters'!$J$8)^'Input - Projection Parameters'!$F$20</f>
        <v>255.33439006689963</v>
      </c>
      <c r="AH22" s="117">
        <f>+AH21*(1+'Input - Projection Parameters'!$J$8)^'Input - Projection Parameters'!$F$20</f>
        <v>178.73407304682974</v>
      </c>
      <c r="AI22" s="117">
        <f>+AI21*(1+'Input - Projection Parameters'!$J$8)^'Input - Projection Parameters'!$F$20</f>
        <v>199.16082425218167</v>
      </c>
      <c r="AJ22" s="117">
        <f>+AJ21*(1+'Input - Projection Parameters'!$J$8)^'Input - Projection Parameters'!$F$20</f>
        <v>71.49362921873188</v>
      </c>
      <c r="AK22" s="117">
        <f>+AK21*(1+'Input - Projection Parameters'!$J$8)^'Input - Projection Parameters'!$F$20</f>
        <v>61.280253616055894</v>
      </c>
      <c r="AM22" s="107">
        <f>IF('Input - Projection Parameters'!A32=1,+Calculations!F22*Calculations!X22*365/1000/1000000,0)</f>
        <v>0</v>
      </c>
      <c r="AN22" s="120">
        <f>IF('Input - Projection Parameters'!$A$30=2,+Calculations!G22*Calculations!Y22*365/1000/1000000,0)</f>
        <v>6.313880231520398</v>
      </c>
      <c r="AO22" s="120">
        <f>IF('Input - Projection Parameters'!$A$30=2,+Calculations!H22*Calculations!Z22*365/1000/1000000,0)</f>
        <v>1.0484244629629444</v>
      </c>
      <c r="AP22" s="120">
        <f>IF('Input - Projection Parameters'!$A$30=2,+Calculations!I22*Calculations!AA22*365/1000/1000000,0)</f>
        <v>0.9023269820608705</v>
      </c>
      <c r="AQ22" s="120">
        <f>IF('Input - Projection Parameters'!$A$30=2,+Calculations!J22*Calculations!AB22*365/1000/1000000,0)</f>
        <v>0.8452102187454632</v>
      </c>
      <c r="AR22" s="120">
        <f>IF('Input - Projection Parameters'!$A$30=2,+Calculations!K22*Calculations!AC22*365/1000/1000000,0)</f>
        <v>0.1620694988584165</v>
      </c>
      <c r="AS22" s="120">
        <f>IF('Input - Projection Parameters'!$A$30=2,+Calculations!L22*Calculations!AD22*365/1000/1000000,0)</f>
        <v>0.32454190449373427</v>
      </c>
      <c r="AT22" s="120">
        <f>IF('Input - Projection Parameters'!$A$30=1,+Calculations!M22*Calculations!AE22*365/1000/1000000,0)</f>
        <v>0</v>
      </c>
      <c r="AU22" s="120">
        <f>IF('Input - Projection Parameters'!$A$30=2,+Calculations!N22*Calculations!AF22*365/1000/1000000,0)</f>
        <v>10.633489432746313</v>
      </c>
      <c r="AV22" s="120">
        <f>IF('Input - Projection Parameters'!$A$30=2,+Calculations!O22*Calculations!AG22*365/1000/1000000,0)</f>
        <v>1.5523545805260521</v>
      </c>
      <c r="AW22" s="120">
        <f>IF('Input - Projection Parameters'!$A$30=2,+Calculations!P22*Calculations!AH22*365/1000/1000000,0)</f>
        <v>1.4806313892017198</v>
      </c>
      <c r="AX22" s="120">
        <f>IF('Input - Projection Parameters'!$A$30=2,+Calculations!Q22*Calculations!AI22*365/1000/1000000,0)</f>
        <v>1.6651722031356095</v>
      </c>
      <c r="AY22" s="120">
        <f>IF('Input - Projection Parameters'!$A$30=2,+Calculations!R22*Calculations!AJ22*365/1000/1000000,0)</f>
        <v>0.14128378896787003</v>
      </c>
      <c r="AZ22" s="120">
        <f>IF('Input - Projection Parameters'!$A$30=2,+Calculations!S22*Calculations!AK22*365/1000/1000000,0)</f>
        <v>0.23138770834720918</v>
      </c>
      <c r="BA22" s="130">
        <f t="shared" si="0"/>
        <v>25.300772401566597</v>
      </c>
    </row>
    <row r="23" spans="2:53" ht="12.75">
      <c r="B23" s="4">
        <f t="shared" si="1"/>
        <v>2009</v>
      </c>
      <c r="C23" s="111">
        <f>+C22*(1+'Input - Projection Parameters'!K6)</f>
        <v>530668.8974999998</v>
      </c>
      <c r="D23" s="116"/>
      <c r="E23" s="111">
        <f>+IF('Input - Existing Situation'!$G$3&gt;=B23,+'Input - Existing Situation'!M39,+(E24-E22)/COUNT(B23:B24)+E22)</f>
        <v>450815.79324743047</v>
      </c>
      <c r="F23" s="118">
        <f>+IF('Input - Existing Situation'!$G$3&gt;=C23,+'Input - Existing Situation'!N27,+(F24-F22)/COUNT(C23:C24)+F22)</f>
        <v>243212.57517497562</v>
      </c>
      <c r="G23" s="180">
        <f>+(G24-G20)/COUNT(B21:B24)+G22</f>
        <v>151431.58022100775</v>
      </c>
      <c r="H23" s="180">
        <f>+(H24-H20)/COUNT(B21:B24)+H22</f>
        <v>20918.79717442968</v>
      </c>
      <c r="I23" s="180">
        <f>+(I24-I20)/COUNT(B21:B24)+I22</f>
        <v>15926.278304657806</v>
      </c>
      <c r="J23" s="180">
        <f>+(J24-J20)/COUNT(C21:C24)+J22</f>
        <v>13742.518869771873</v>
      </c>
      <c r="K23" s="180">
        <f>+(K24-K20)/COUNT(B21:B24)+K22</f>
        <v>5034.852532781984</v>
      </c>
      <c r="L23" s="180">
        <f>+(L24-L20)/COUNT(C21:C24)+L22</f>
        <v>17953.787739543746</v>
      </c>
      <c r="M23" s="118">
        <f>+IF('Input - Existing Situation'!$G$3&gt;=B23,+'Input - Existing Situation'!U27,+(M24-M22)/COUNT(B23:B24)+M22)</f>
        <v>235881.23694798606</v>
      </c>
      <c r="N23" s="180">
        <f>+(N24-N20)/COUNT(I21:I24)+N22</f>
        <v>151431.58022100775</v>
      </c>
      <c r="O23" s="180">
        <f>+(O24-O20)/COUNT(J21:J24)+O22</f>
        <v>17485.037739543746</v>
      </c>
      <c r="P23" s="180">
        <f>+(P24-P20)/COUNT(K21:K24)+P22</f>
        <v>22793.79717442969</v>
      </c>
      <c r="Q23" s="180">
        <f>+(Q24-Q20)/COUNT(L21:L24)+Q22</f>
        <v>20610.037739543746</v>
      </c>
      <c r="R23" s="180">
        <f>+(R24-R20)/COUNT(M21:M24)+R22</f>
        <v>4996.259434885937</v>
      </c>
      <c r="S23" s="180">
        <f>+(S24-S20)/COUNT(N21:N24)+S22</f>
        <v>7461.6297397374765</v>
      </c>
      <c r="V23" s="107">
        <f t="shared" si="2"/>
        <v>2009</v>
      </c>
      <c r="X23" s="107">
        <f>+X22*(1+'Input - Projection Parameters'!$K$12)^'Input - Projection Parameters'!$F$19*(1+'Input - Projection Parameters'!$K$8)^'Input - Projection Parameters'!$F$20</f>
        <v>0</v>
      </c>
      <c r="Y23" s="117">
        <f>+Y22*(1+'Input - Projection Parameters'!$K$12)^'Input - Projection Parameters'!$F$19*(1+'Input - Projection Parameters'!$K$8)^'Input - Projection Parameters'!$F$20</f>
        <v>122.06755143607835</v>
      </c>
      <c r="Z23" s="117">
        <f>+Z22*(1+'Input - Projection Parameters'!$K$12)^'Input - Projection Parameters'!$F$19*(1+'Input - Projection Parameters'!$K$8)^'Input - Projection Parameters'!$F$20</f>
        <v>152.58443929509795</v>
      </c>
      <c r="AA23" s="117">
        <f>+AA22*(1+'Input - Projection Parameters'!$K$12)^'Input - Projection Parameters'!$F$19*(1+'Input - Projection Parameters'!$K$8)^'Input - Projection Parameters'!$F$20</f>
        <v>137.3259953655881</v>
      </c>
      <c r="AB23" s="117">
        <f>+AB22*(1+'Input - Projection Parameters'!$K$12)^'Input - Projection Parameters'!$F$19*(1+'Input - Projection Parameters'!$K$8)^'Input - Projection Parameters'!$F$20</f>
        <v>127.15369941258164</v>
      </c>
      <c r="AC23" s="117">
        <f>+AC22*(1+'Input - Projection Parameters'!$K$12)^'Input - Projection Parameters'!$F$19*(1+'Input - Projection Parameters'!$K$8)^'Input - Projection Parameters'!$F$20</f>
        <v>81.37836762405225</v>
      </c>
      <c r="AD23" s="117">
        <f>+AD22*(1+'Input - Projection Parameters'!$K$12)^'Input - Projection Parameters'!$F$19*(1+'Input - Projection Parameters'!$K$8)^'Input - Projection Parameters'!$F$20</f>
        <v>50.861479765032634</v>
      </c>
      <c r="AE23" s="117">
        <f>+AE22*(1+'Input - Projection Parameters'!$K$8)^'Input - Projection Parameters'!$F$20</f>
        <v>0</v>
      </c>
      <c r="AF23" s="117">
        <f>+AF22*(1+'Input - Projection Parameters'!$K$8)^'Input - Projection Parameters'!$F$20</f>
        <v>206.86900958279742</v>
      </c>
      <c r="AG23" s="117">
        <f>+AG22*(1+'Input - Projection Parameters'!$K$8)^'Input - Projection Parameters'!$F$20</f>
        <v>258.58626197849685</v>
      </c>
      <c r="AH23" s="117">
        <f>+AH22*(1+'Input - Projection Parameters'!$K$8)^'Input - Projection Parameters'!$F$20</f>
        <v>181.0103833849478</v>
      </c>
      <c r="AI23" s="117">
        <f>+AI22*(1+'Input - Projection Parameters'!$K$8)^'Input - Projection Parameters'!$F$20</f>
        <v>201.69728434322752</v>
      </c>
      <c r="AJ23" s="117">
        <f>+AJ22*(1+'Input - Projection Parameters'!$K$8)^'Input - Projection Parameters'!$F$20</f>
        <v>72.40415335397911</v>
      </c>
      <c r="AK23" s="117">
        <f>+AK22*(1+'Input - Projection Parameters'!$K$8)^'Input - Projection Parameters'!$F$20</f>
        <v>62.06070287483923</v>
      </c>
      <c r="AM23" s="107">
        <f>IF('Input - Projection Parameters'!A33=1,+Calculations!F23*Calculations!X23*365/1000/1000000,0)</f>
        <v>0</v>
      </c>
      <c r="AN23" s="120">
        <f>IF('Input - Projection Parameters'!$A$30=2,+Calculations!G23*Calculations!Y23*365/1000/1000000,0)</f>
        <v>6.746982005801189</v>
      </c>
      <c r="AO23" s="120">
        <f>IF('Input - Projection Parameters'!$A$30=2,+Calculations!H23*Calculations!Z23*365/1000/1000000,0)</f>
        <v>1.1650372722197047</v>
      </c>
      <c r="AP23" s="120">
        <f>IF('Input - Projection Parameters'!$A$30=2,+Calculations!I23*Calculations!AA23*365/1000/1000000,0)</f>
        <v>0.798288587539624</v>
      </c>
      <c r="AQ23" s="120">
        <f>IF('Input - Projection Parameters'!$A$30=2,+Calculations!J23*Calculations!AB23*365/1000/1000000,0)</f>
        <v>0.6378054214416269</v>
      </c>
      <c r="AR23" s="120">
        <f>IF('Input - Projection Parameters'!$A$30=2,+Calculations!K23*Calculations!AC23*365/1000/1000000,0)</f>
        <v>0.14955074932615234</v>
      </c>
      <c r="AS23" s="120">
        <f>IF('Input - Projection Parameters'!$A$30=2,+Calculations!L23*Calculations!AD23*365/1000/1000000,0)</f>
        <v>0.3333020173144807</v>
      </c>
      <c r="AT23" s="120">
        <f>IF('Input - Projection Parameters'!$A$30=1,+Calculations!M23*Calculations!AE23*365/1000/1000000,0)</f>
        <v>0</v>
      </c>
      <c r="AU23" s="120">
        <f>IF('Input - Projection Parameters'!$A$30=2,+Calculations!N23*Calculations!AF23*365/1000/1000000,0)</f>
        <v>11.434172872255402</v>
      </c>
      <c r="AV23" s="120">
        <f>IF('Input - Projection Parameters'!$A$30=2,+Calculations!O23*Calculations!AG23*365/1000/1000000,0)</f>
        <v>1.6503075506118705</v>
      </c>
      <c r="AW23" s="120">
        <f>IF('Input - Projection Parameters'!$A$30=2,+Calculations!P23*Calculations!AH23*365/1000/1000000,0)</f>
        <v>1.505958597349924</v>
      </c>
      <c r="AX23" s="120">
        <f>IF('Input - Projection Parameters'!$A$30=2,+Calculations!Q23*Calculations!AI23*365/1000/1000000,0)</f>
        <v>1.517300854431253</v>
      </c>
      <c r="AY23" s="120">
        <f>IF('Input - Projection Parameters'!$A$30=2,+Calculations!R23*Calculations!AJ23*365/1000/1000000,0)</f>
        <v>0.1320387260267074</v>
      </c>
      <c r="AZ23" s="120">
        <f>IF('Input - Projection Parameters'!$A$30=2,+Calculations!S23*Calculations!AK23*365/1000/1000000,0)</f>
        <v>0.1690220049775677</v>
      </c>
      <c r="BA23" s="130">
        <f t="shared" si="0"/>
        <v>26.239766659295498</v>
      </c>
    </row>
    <row r="24" spans="2:53" ht="12.75">
      <c r="B24" s="4">
        <f t="shared" si="1"/>
        <v>2010</v>
      </c>
      <c r="C24" s="111">
        <f>+C23*(1+'Input - Projection Parameters'!L6)</f>
        <v>538628.9309624998</v>
      </c>
      <c r="D24" s="116"/>
      <c r="E24" s="111">
        <f>+C24*'Input - Projection Parameters'!F65</f>
        <v>457834.59131812485</v>
      </c>
      <c r="F24" s="118">
        <f>+E24*'Input - Projection Parameters'!F82</f>
        <v>251809.02522496867</v>
      </c>
      <c r="G24" s="114">
        <f>+E24*'Input - Projection Parameters'!F85</f>
        <v>160242.1069613437</v>
      </c>
      <c r="H24" s="115">
        <f>+E24*'Input - Projection Parameters'!F86</f>
        <v>22891.729565906244</v>
      </c>
      <c r="I24" s="115">
        <f>+E24*'Input - Projection Parameters'!F87</f>
        <v>13735.037739543744</v>
      </c>
      <c r="J24" s="115">
        <f>+E24*'Input - Projection Parameters'!F88</f>
        <v>9156.691826362498</v>
      </c>
      <c r="K24" s="115">
        <f>+E24*'Input - Projection Parameters'!F89</f>
        <v>4578.345913181249</v>
      </c>
      <c r="L24" s="116">
        <f>+E24*'Input - Projection Parameters'!F90</f>
        <v>18313.383652724995</v>
      </c>
      <c r="M24" s="119">
        <f>+C24*'Input - Projection Parameters'!F92</f>
        <v>242383.01893312493</v>
      </c>
      <c r="N24" s="114">
        <f>+E24*'Input - Projection Parameters'!F94</f>
        <v>160242.1069613437</v>
      </c>
      <c r="O24" s="115">
        <f>+E24*'Input - Projection Parameters'!F95</f>
        <v>18313.383652724995</v>
      </c>
      <c r="P24" s="115">
        <f>+E24*'Input - Projection Parameters'!F96</f>
        <v>22891.729565906244</v>
      </c>
      <c r="Q24" s="115">
        <f>+E24*'Input - Projection Parameters'!F97</f>
        <v>18313.383652724995</v>
      </c>
      <c r="R24" s="115">
        <f>+E24*'Input - Projection Parameters'!F98</f>
        <v>4578.345913181249</v>
      </c>
      <c r="S24" s="116">
        <f>+E24*'Input - Projection Parameters'!F99</f>
        <v>4578.345913181249</v>
      </c>
      <c r="U24" s="100"/>
      <c r="V24" s="107">
        <f t="shared" si="2"/>
        <v>2010</v>
      </c>
      <c r="X24" s="107">
        <f>+X23*(1+'Input - Projection Parameters'!$L$12)^'Input - Projection Parameters'!$F$19*(1+'Input - Projection Parameters'!$L$8)^'Input - Projection Parameters'!$F$20</f>
        <v>0</v>
      </c>
      <c r="Y24" s="117">
        <f>+Y23*(1+'Input - Projection Parameters'!$L$12)^'Input - Projection Parameters'!$F$19*(1+'Input - Projection Parameters'!$L$8)^'Input - Projection Parameters'!$F$20</f>
        <v>122.85154745275116</v>
      </c>
      <c r="Z24" s="117">
        <f>+Z23*(1+'Input - Projection Parameters'!$L$12)^'Input - Projection Parameters'!$F$19*(1+'Input - Projection Parameters'!$L$8)^'Input - Projection Parameters'!$F$20</f>
        <v>153.56443431593897</v>
      </c>
      <c r="AA24" s="117">
        <f>+AA23*(1+'Input - Projection Parameters'!$L$12)^'Input - Projection Parameters'!$F$19*(1+'Input - Projection Parameters'!$L$8)^'Input - Projection Parameters'!$F$20</f>
        <v>138.20799088434504</v>
      </c>
      <c r="AB24" s="117">
        <f>+AB23*(1+'Input - Projection Parameters'!$L$12)^'Input - Projection Parameters'!$F$19*(1+'Input - Projection Parameters'!$L$8)^'Input - Projection Parameters'!$F$20</f>
        <v>127.97036192994916</v>
      </c>
      <c r="AC24" s="117">
        <f>+AC23*(1+'Input - Projection Parameters'!$L$12)^'Input - Projection Parameters'!$F$19*(1+'Input - Projection Parameters'!$L$8)^'Input - Projection Parameters'!$F$20</f>
        <v>81.90103163516746</v>
      </c>
      <c r="AD24" s="117">
        <f>+AD23*(1+'Input - Projection Parameters'!$L$12)^'Input - Projection Parameters'!$F$19*(1+'Input - Projection Parameters'!$L$8)^'Input - Projection Parameters'!$F$20</f>
        <v>51.18814477197964</v>
      </c>
      <c r="AE24" s="117">
        <f>+AE23*(1+'Input - Projection Parameters'!$L$8)^'Input - Projection Parameters'!$F$20</f>
        <v>0</v>
      </c>
      <c r="AF24" s="117">
        <f>+AF23*(1+'Input - Projection Parameters'!$L$8)^'Input - Projection Parameters'!$F$20</f>
        <v>209.50363910319214</v>
      </c>
      <c r="AG24" s="117">
        <f>+AG23*(1+'Input - Projection Parameters'!$L$8)^'Input - Projection Parameters'!$F$20</f>
        <v>261.87954887899025</v>
      </c>
      <c r="AH24" s="117">
        <f>+AH23*(1+'Input - Projection Parameters'!$L$8)^'Input - Projection Parameters'!$F$20</f>
        <v>183.3156842152932</v>
      </c>
      <c r="AI24" s="117">
        <f>+AI23*(1+'Input - Projection Parameters'!$L$8)^'Input - Projection Parameters'!$F$20</f>
        <v>204.2660481256124</v>
      </c>
      <c r="AJ24" s="117">
        <f>+AJ23*(1+'Input - Projection Parameters'!$L$8)^'Input - Projection Parameters'!$F$20</f>
        <v>73.32627368611728</v>
      </c>
      <c r="AK24" s="117">
        <f>+AK23*(1+'Input - Projection Parameters'!$L$8)^'Input - Projection Parameters'!$F$20</f>
        <v>62.85109173095765</v>
      </c>
      <c r="AM24" s="107">
        <f>IF('Input - Projection Parameters'!A34=1,+Calculations!F24*Calculations!X24*365/1000/1000000,0)</f>
        <v>0</v>
      </c>
      <c r="AN24" s="120">
        <f>IF('Input - Projection Parameters'!$A$30=2,+Calculations!G24*Calculations!Y24*365/1000/1000000,0)</f>
        <v>7.185386644660975</v>
      </c>
      <c r="AO24" s="120">
        <f>IF('Input - Projection Parameters'!$A$30=2,+Calculations!H24*Calculations!Z24*365/1000/1000000,0)</f>
        <v>1.2831047579751742</v>
      </c>
      <c r="AP24" s="120">
        <f>IF('Input - Projection Parameters'!$A$30=2,+Calculations!I24*Calculations!AA24*365/1000/1000000,0)</f>
        <v>0.6928765693065938</v>
      </c>
      <c r="AQ24" s="120">
        <f>IF('Input - Projection Parameters'!$A$30=2,+Calculations!J24*Calculations!AB24*365/1000/1000000,0)</f>
        <v>0.42770158599172486</v>
      </c>
      <c r="AR24" s="120">
        <f>IF('Input - Projection Parameters'!$A$30=2,+Calculations!K24*Calculations!AC24*365/1000/1000000,0)</f>
        <v>0.13686450751735194</v>
      </c>
      <c r="AS24" s="120">
        <f>IF('Input - Projection Parameters'!$A$30=2,+Calculations!L24*Calculations!AD24*365/1000/1000000,0)</f>
        <v>0.34216126879337966</v>
      </c>
      <c r="AT24" s="120">
        <f>IF('Input - Projection Parameters'!$A$30=1,+Calculations!M24*Calculations!AE24*365/1000/1000000,0)</f>
        <v>0</v>
      </c>
      <c r="AU24" s="120">
        <f>IF('Input - Projection Parameters'!$A$30=2,+Calculations!N24*Calculations!AF24*365/1000/1000000,0)</f>
        <v>12.25352615927703</v>
      </c>
      <c r="AV24" s="120">
        <f>IF('Input - Projection Parameters'!$A$30=2,+Calculations!O24*Calculations!AG24*365/1000/1000000,0)</f>
        <v>1.7505037370395762</v>
      </c>
      <c r="AW24" s="120">
        <f>IF('Input - Projection Parameters'!$A$30=2,+Calculations!P24*Calculations!AH24*365/1000/1000000,0)</f>
        <v>1.5316907699096294</v>
      </c>
      <c r="AX24" s="120">
        <f>IF('Input - Projection Parameters'!$A$30=2,+Calculations!Q24*Calculations!AI24*365/1000/1000000,0)</f>
        <v>1.3653929148908694</v>
      </c>
      <c r="AY24" s="120">
        <f>IF('Input - Projection Parameters'!$A$30=2,+Calculations!R24*Calculations!AJ24*365/1000/1000000,0)</f>
        <v>0.12253526159277034</v>
      </c>
      <c r="AZ24" s="120">
        <f>IF('Input - Projection Parameters'!$A$30=2,+Calculations!S24*Calculations!AK24*365/1000/1000000,0)</f>
        <v>0.10503022422237455</v>
      </c>
      <c r="BA24" s="130">
        <f t="shared" si="0"/>
        <v>27.19677440117745</v>
      </c>
    </row>
    <row r="25" spans="2:53" ht="12.75">
      <c r="B25" s="4">
        <f t="shared" si="1"/>
        <v>2011</v>
      </c>
      <c r="C25" s="111">
        <f>+C24*(1+'Input - Projection Parameters'!M6)</f>
        <v>546708.3649269373</v>
      </c>
      <c r="D25" s="116"/>
      <c r="E25" s="111">
        <f>+(E29-E24)/COUNT(B25:B29)+E24</f>
        <v>467232.274710312</v>
      </c>
      <c r="F25" s="118">
        <f>+(F29-F24)/COUNT(B25:B29)+F24</f>
        <v>262025.9811734622</v>
      </c>
      <c r="G25" s="114">
        <f>+(G29-G24)/COUNT(B25:B29)+G24</f>
        <v>163531.2961486092</v>
      </c>
      <c r="H25" s="115">
        <f>+(H29-H24)/COUNT(B25:B29)+H24</f>
        <v>23361.613735515602</v>
      </c>
      <c r="I25" s="115">
        <f>+(I29-I24)/COUNT(B25:B29)+I24</f>
        <v>14016.96824130936</v>
      </c>
      <c r="J25" s="115">
        <f>+(J29-J24)/COUNT(B25:B29)+J24</f>
        <v>9344.645494206241</v>
      </c>
      <c r="K25" s="115">
        <f>+(K29-K24)/COUNT(B25:B29)+K24</f>
        <v>4672.3227471031205</v>
      </c>
      <c r="L25" s="116">
        <f>+(L29-L24)/COUNT(B25:B29)+L24</f>
        <v>18689.290988412482</v>
      </c>
      <c r="M25" s="119">
        <f>+(M29-M24)/COUNT(B25:B29)+M24</f>
        <v>240326.9216549193</v>
      </c>
      <c r="N25" s="114">
        <f>+(N29-N24)/COUNT(B25:B29)+N24</f>
        <v>163531.2961486092</v>
      </c>
      <c r="O25" s="115">
        <f>+(O29-O24)/COUNT(B25:B29)+O24</f>
        <v>18689.290988412482</v>
      </c>
      <c r="P25" s="115">
        <f>+(P29-P24)/COUNT(B25:B29)+P24</f>
        <v>23361.613735515602</v>
      </c>
      <c r="Q25" s="115">
        <f>+(Q29-Q24)/COUNT(B25:B29)+Q24</f>
        <v>18689.290988412482</v>
      </c>
      <c r="R25" s="115">
        <f>+(R29-R24)/COUNT(B25:B29)+R24</f>
        <v>4672.3227471031205</v>
      </c>
      <c r="S25" s="116">
        <f>+(S29-S24)/COUNT(B25:B29)+S24</f>
        <v>4672.3227471031205</v>
      </c>
      <c r="U25" s="100"/>
      <c r="V25" s="107">
        <f t="shared" si="2"/>
        <v>2011</v>
      </c>
      <c r="X25" s="107">
        <f>+X24*(1+'Input - Projection Parameters'!$M$12)^'Input - Projection Parameters'!$F$19*(1+'Input - Projection Parameters'!$M$8)^'Input - Projection Parameters'!$F$20</f>
        <v>0</v>
      </c>
      <c r="Y25" s="117">
        <f>+Y24*(1+'Input - Projection Parameters'!$M$12)^'Input - Projection Parameters'!$F$19*(1+'Input - Projection Parameters'!$M$8)^'Input - Projection Parameters'!$F$20</f>
        <v>123.64057879410221</v>
      </c>
      <c r="Z25" s="117">
        <f>+Z24*(1+'Input - Projection Parameters'!$M$12)^'Input - Projection Parameters'!$F$19*(1+'Input - Projection Parameters'!$M$8)^'Input - Projection Parameters'!$F$20</f>
        <v>154.55072349262778</v>
      </c>
      <c r="AA25" s="117">
        <f>+AA24*(1+'Input - Projection Parameters'!$M$12)^'Input - Projection Parameters'!$F$19*(1+'Input - Projection Parameters'!$M$8)^'Input - Projection Parameters'!$F$20</f>
        <v>139.095651143365</v>
      </c>
      <c r="AB25" s="117">
        <f>+AB24*(1+'Input - Projection Parameters'!$M$12)^'Input - Projection Parameters'!$F$19*(1+'Input - Projection Parameters'!$M$8)^'Input - Projection Parameters'!$F$20</f>
        <v>128.79226957718984</v>
      </c>
      <c r="AC25" s="117">
        <f>+AC24*(1+'Input - Projection Parameters'!$M$12)^'Input - Projection Parameters'!$F$19*(1+'Input - Projection Parameters'!$M$8)^'Input - Projection Parameters'!$F$20</f>
        <v>82.42705252940148</v>
      </c>
      <c r="AD25" s="117">
        <f>+AD24*(1+'Input - Projection Parameters'!$M$12)^'Input - Projection Parameters'!$F$19*(1+'Input - Projection Parameters'!$M$8)^'Input - Projection Parameters'!$F$20</f>
        <v>51.51690783087591</v>
      </c>
      <c r="AE25" s="117">
        <f>+AE24*(1+'Input - Projection Parameters'!$M$8)^'Input - Projection Parameters'!$F$20</f>
        <v>0</v>
      </c>
      <c r="AF25" s="117">
        <f>+AF24*(1+'Input - Projection Parameters'!$M$8)^'Input - Projection Parameters'!$F$20</f>
        <v>212.17182257506437</v>
      </c>
      <c r="AG25" s="117">
        <f>+AG24*(1+'Input - Projection Parameters'!$M$8)^'Input - Projection Parameters'!$F$20</f>
        <v>265.21477821883053</v>
      </c>
      <c r="AH25" s="117">
        <f>+AH24*(1+'Input - Projection Parameters'!$M$8)^'Input - Projection Parameters'!$F$20</f>
        <v>185.6503447531814</v>
      </c>
      <c r="AI25" s="117">
        <f>+AI24*(1+'Input - Projection Parameters'!$M$8)^'Input - Projection Parameters'!$F$20</f>
        <v>206.8675270106878</v>
      </c>
      <c r="AJ25" s="117">
        <f>+AJ24*(1+'Input - Projection Parameters'!$M$8)^'Input - Projection Parameters'!$F$20</f>
        <v>74.26013790127254</v>
      </c>
      <c r="AK25" s="117">
        <f>+AK24*(1+'Input - Projection Parameters'!$M$8)^'Input - Projection Parameters'!$F$20</f>
        <v>63.65154677251931</v>
      </c>
      <c r="AM25" s="107">
        <f>IF('Input - Projection Parameters'!A35=1,+Calculations!F25*Calculations!X25*365/1000/1000000,0)</f>
        <v>0</v>
      </c>
      <c r="AN25" s="120">
        <f>IF('Input - Projection Parameters'!$A$30=2,+Calculations!G25*Calculations!Y25*365/1000/1000000,0)</f>
        <v>7.379972998968779</v>
      </c>
      <c r="AO25" s="120">
        <f>IF('Input - Projection Parameters'!$A$30=2,+Calculations!H25*Calculations!Z25*365/1000/1000000,0)</f>
        <v>1.317852321244425</v>
      </c>
      <c r="AP25" s="120">
        <f>IF('Input - Projection Parameters'!$A$30=2,+Calculations!I25*Calculations!AA25*365/1000/1000000,0)</f>
        <v>0.7116402534719896</v>
      </c>
      <c r="AQ25" s="120">
        <f>IF('Input - Projection Parameters'!$A$30=2,+Calculations!J25*Calculations!AB25*365/1000/1000000,0)</f>
        <v>0.43928410708147514</v>
      </c>
      <c r="AR25" s="120">
        <f>IF('Input - Projection Parameters'!$A$30=2,+Calculations!K25*Calculations!AC25*365/1000/1000000,0)</f>
        <v>0.14057091426607202</v>
      </c>
      <c r="AS25" s="120">
        <f>IF('Input - Projection Parameters'!$A$30=2,+Calculations!L25*Calculations!AD25*365/1000/1000000,0)</f>
        <v>0.3514272856651799</v>
      </c>
      <c r="AT25" s="120">
        <f>IF('Input - Projection Parameters'!$A$30=1,+Calculations!M25*Calculations!AE25*365/1000/1000000,0)</f>
        <v>0</v>
      </c>
      <c r="AU25" s="120">
        <f>IF('Input - Projection Parameters'!$A$30=2,+Calculations!N25*Calculations!AF25*365/1000/1000000,0)</f>
        <v>12.664307600448252</v>
      </c>
      <c r="AV25" s="120">
        <f>IF('Input - Projection Parameters'!$A$30=2,+Calculations!O25*Calculations!AG25*365/1000/1000000,0)</f>
        <v>1.8091868000640368</v>
      </c>
      <c r="AW25" s="120">
        <f>IF('Input - Projection Parameters'!$A$30=2,+Calculations!P25*Calculations!AH25*365/1000/1000000,0)</f>
        <v>1.5830384500560326</v>
      </c>
      <c r="AX25" s="120">
        <f>IF('Input - Projection Parameters'!$A$30=2,+Calculations!Q25*Calculations!AI25*365/1000/1000000,0)</f>
        <v>1.4111657040499483</v>
      </c>
      <c r="AY25" s="120">
        <f>IF('Input - Projection Parameters'!$A$30=2,+Calculations!R25*Calculations!AJ25*365/1000/1000000,0)</f>
        <v>0.12664307600448255</v>
      </c>
      <c r="AZ25" s="120">
        <f>IF('Input - Projection Parameters'!$A$30=2,+Calculations!S25*Calculations!AK25*365/1000/1000000,0)</f>
        <v>0.10855120800384217</v>
      </c>
      <c r="BA25" s="130">
        <f t="shared" si="0"/>
        <v>28.043640719324518</v>
      </c>
    </row>
    <row r="26" spans="2:53" ht="12.75">
      <c r="B26" s="4">
        <f t="shared" si="1"/>
        <v>2012</v>
      </c>
      <c r="C26" s="111">
        <f>+C25*(1+'Input - Projection Parameters'!N6)</f>
        <v>554908.9904008412</v>
      </c>
      <c r="D26" s="116"/>
      <c r="E26" s="111">
        <f>+(E29-E24)/COUNT(B25:B29)+E25</f>
        <v>476629.9581024992</v>
      </c>
      <c r="F26" s="118">
        <f>+(F29-F24)/COUNT(B25:B29)+F25</f>
        <v>272242.93712195574</v>
      </c>
      <c r="G26" s="114">
        <f>+(G29-G24)/COUNT(B25:B29)+G25</f>
        <v>166820.4853358747</v>
      </c>
      <c r="H26" s="115">
        <f>+(H29-H24)/COUNT(B25:B29)+H25</f>
        <v>23831.49790512496</v>
      </c>
      <c r="I26" s="115">
        <f>+(I29-I24)/COUNT(B25:B29)+I25</f>
        <v>14298.898743074975</v>
      </c>
      <c r="J26" s="115">
        <f>+(J29-J24)/COUNT(B25:B29)+J25</f>
        <v>9532.599162049984</v>
      </c>
      <c r="K26" s="115">
        <f>+(K29-K24)/COUNT(B25:B29)+K25</f>
        <v>4766.299581024992</v>
      </c>
      <c r="L26" s="116">
        <f>+(L29-L24)/COUNT(B25:B29)+L25</f>
        <v>19065.19832409997</v>
      </c>
      <c r="M26" s="119">
        <f>+(M29-M24)/COUNT(B25:B29)+M25</f>
        <v>238270.8243767137</v>
      </c>
      <c r="N26" s="114">
        <f>+(N29-N24)/COUNT(B25:B29)+N25</f>
        <v>166820.4853358747</v>
      </c>
      <c r="O26" s="115">
        <f>+(O29-O24)/COUNT(B25:B29)+O25</f>
        <v>19065.19832409997</v>
      </c>
      <c r="P26" s="115">
        <f>+(P29-P24)/COUNT(B25:B29)+P25</f>
        <v>23831.49790512496</v>
      </c>
      <c r="Q26" s="115">
        <f>+(Q29-Q24)/COUNT(B25:B29)+Q25</f>
        <v>19065.19832409997</v>
      </c>
      <c r="R26" s="115">
        <f>+(R29-R24)/COUNT(B25:B29)+R25</f>
        <v>4766.299581024992</v>
      </c>
      <c r="S26" s="116">
        <f>+(S29-S24)/COUNT(B25:B29)+S25</f>
        <v>4766.299581024992</v>
      </c>
      <c r="U26" s="100"/>
      <c r="V26" s="107">
        <f t="shared" si="2"/>
        <v>2012</v>
      </c>
      <c r="X26" s="107">
        <f>+X25*(1+'Input - Projection Parameters'!$N$12)^'Input - Projection Parameters'!$F$19*(1+'Input - Projection Parameters'!$N$8)^'Input - Projection Parameters'!$F$20</f>
        <v>0</v>
      </c>
      <c r="Y26" s="117">
        <f>+Y25*(1+'Input - Projection Parameters'!$N$12)^'Input - Projection Parameters'!$F$19*(1+'Input - Projection Parameters'!$N$8)^'Input - Projection Parameters'!$F$20</f>
        <v>124.43467780021243</v>
      </c>
      <c r="Z26" s="117">
        <f>+Z25*(1+'Input - Projection Parameters'!$N$12)^'Input - Projection Parameters'!$F$19*(1+'Input - Projection Parameters'!$N$8)^'Input - Projection Parameters'!$F$20</f>
        <v>155.54334725026553</v>
      </c>
      <c r="AA26" s="117">
        <f>+AA25*(1+'Input - Projection Parameters'!$N$12)^'Input - Projection Parameters'!$F$19*(1+'Input - Projection Parameters'!$N$8)^'Input - Projection Parameters'!$F$20</f>
        <v>139.989012525239</v>
      </c>
      <c r="AB26" s="117">
        <f>+AB25*(1+'Input - Projection Parameters'!$N$12)^'Input - Projection Parameters'!$F$19*(1+'Input - Projection Parameters'!$N$8)^'Input - Projection Parameters'!$F$20</f>
        <v>129.619456041888</v>
      </c>
      <c r="AC26" s="117">
        <f>+AC25*(1+'Input - Projection Parameters'!$N$12)^'Input - Projection Parameters'!$F$19*(1+'Input - Projection Parameters'!$N$8)^'Input - Projection Parameters'!$F$20</f>
        <v>82.9564518668083</v>
      </c>
      <c r="AD26" s="117">
        <f>+AD25*(1+'Input - Projection Parameters'!$N$12)^'Input - Projection Parameters'!$F$19*(1+'Input - Projection Parameters'!$N$8)^'Input - Projection Parameters'!$F$20</f>
        <v>51.84778241675516</v>
      </c>
      <c r="AE26" s="117">
        <f>+AE25*(1+'Input - Projection Parameters'!$N$8)^'Input - Projection Parameters'!$F$20</f>
        <v>0</v>
      </c>
      <c r="AF26" s="117">
        <f>+AF25*(1+'Input - Projection Parameters'!$N$8)^'Input - Projection Parameters'!$F$20</f>
        <v>214.87398733275123</v>
      </c>
      <c r="AG26" s="117">
        <f>+AG25*(1+'Input - Projection Parameters'!$N$8)^'Input - Projection Parameters'!$F$20</f>
        <v>268.5924841659391</v>
      </c>
      <c r="AH26" s="117">
        <f>+AH25*(1+'Input - Projection Parameters'!$N$8)^'Input - Projection Parameters'!$F$20</f>
        <v>188.0147389161574</v>
      </c>
      <c r="AI26" s="117">
        <f>+AI25*(1+'Input - Projection Parameters'!$N$8)^'Input - Projection Parameters'!$F$20</f>
        <v>209.50213764943248</v>
      </c>
      <c r="AJ26" s="117">
        <f>+AJ25*(1+'Input - Projection Parameters'!$N$8)^'Input - Projection Parameters'!$F$20</f>
        <v>75.20589556646294</v>
      </c>
      <c r="AK26" s="117">
        <f>+AK25*(1+'Input - Projection Parameters'!$N$8)^'Input - Projection Parameters'!$F$20</f>
        <v>64.46219619982537</v>
      </c>
      <c r="AM26" s="107">
        <f>IF('Input - Projection Parameters'!A36=1,+Calculations!F26*Calculations!X26*365/1000/1000000,0)</f>
        <v>0</v>
      </c>
      <c r="AN26" s="120">
        <f>IF('Input - Projection Parameters'!$A$30=2,+Calculations!G26*Calculations!Y26*365/1000/1000000,0)</f>
        <v>7.57676247028429</v>
      </c>
      <c r="AO26" s="120">
        <f>IF('Input - Projection Parameters'!$A$30=2,+Calculations!H26*Calculations!Z26*365/1000/1000000,0)</f>
        <v>1.3529932982650519</v>
      </c>
      <c r="AP26" s="120">
        <f>IF('Input - Projection Parameters'!$A$30=2,+Calculations!I26*Calculations!AA26*365/1000/1000000,0)</f>
        <v>0.730616381063128</v>
      </c>
      <c r="AQ26" s="120">
        <f>IF('Input - Projection Parameters'!$A$30=2,+Calculations!J26*Calculations!AB26*365/1000/1000000,0)</f>
        <v>0.45099776608835085</v>
      </c>
      <c r="AR26" s="120">
        <f>IF('Input - Projection Parameters'!$A$30=2,+Calculations!K26*Calculations!AC26*365/1000/1000000,0)</f>
        <v>0.14431928514827222</v>
      </c>
      <c r="AS26" s="120">
        <f>IF('Input - Projection Parameters'!$A$30=2,+Calculations!L26*Calculations!AD26*365/1000/1000000,0)</f>
        <v>0.36079821287068037</v>
      </c>
      <c r="AT26" s="120">
        <f>IF('Input - Projection Parameters'!$A$30=1,+Calculations!M26*Calculations!AE26*365/1000/1000000,0)</f>
        <v>0</v>
      </c>
      <c r="AU26" s="120">
        <f>IF('Input - Projection Parameters'!$A$30=2,+Calculations!N26*Calculations!AF26*365/1000/1000000,0)</f>
        <v>13.083564741310015</v>
      </c>
      <c r="AV26" s="120">
        <f>IF('Input - Projection Parameters'!$A$30=2,+Calculations!O26*Calculations!AG26*365/1000/1000000,0)</f>
        <v>1.8690806773300028</v>
      </c>
      <c r="AW26" s="120">
        <f>IF('Input - Projection Parameters'!$A$30=2,+Calculations!P26*Calculations!AH26*365/1000/1000000,0)</f>
        <v>1.6354455926637528</v>
      </c>
      <c r="AX26" s="120">
        <f>IF('Input - Projection Parameters'!$A$30=2,+Calculations!Q26*Calculations!AI26*365/1000/1000000,0)</f>
        <v>1.4578829283174022</v>
      </c>
      <c r="AY26" s="120">
        <f>IF('Input - Projection Parameters'!$A$30=2,+Calculations!R26*Calculations!AJ26*365/1000/1000000,0)</f>
        <v>0.13083564741310022</v>
      </c>
      <c r="AZ26" s="120">
        <f>IF('Input - Projection Parameters'!$A$30=2,+Calculations!S26*Calculations!AK26*365/1000/1000000,0)</f>
        <v>0.11214484063980017</v>
      </c>
      <c r="BA26" s="130">
        <f t="shared" si="0"/>
        <v>28.90544184139385</v>
      </c>
    </row>
    <row r="27" spans="2:53" ht="12.75">
      <c r="B27" s="4">
        <f t="shared" si="1"/>
        <v>2013</v>
      </c>
      <c r="C27" s="111">
        <f>+C26*(1+'Input - Projection Parameters'!O6)</f>
        <v>563232.6252568538</v>
      </c>
      <c r="D27" s="116"/>
      <c r="E27" s="111">
        <f>+(E29-E24)/COUNT(B25:B29)+E26</f>
        <v>486027.64149468637</v>
      </c>
      <c r="F27" s="118">
        <f>+(F29-F24)/COUNT(B25:B29)+F26</f>
        <v>282459.8930704493</v>
      </c>
      <c r="G27" s="114">
        <f>+(G29-G24)/COUNT(B25:B29)+G26</f>
        <v>170109.6745231402</v>
      </c>
      <c r="H27" s="115">
        <f>+(H29-H24)/COUNT(B25:B29)+H26</f>
        <v>24301.38207473432</v>
      </c>
      <c r="I27" s="115">
        <f>+(I29-I24)/COUNT(B25:B29)+I26</f>
        <v>14580.82924484059</v>
      </c>
      <c r="J27" s="115">
        <f>+(J29-J24)/COUNT(B25:B29)+J26</f>
        <v>9720.552829893728</v>
      </c>
      <c r="K27" s="115">
        <f>+(K29-K24)/COUNT(B25:B29)+K26</f>
        <v>4860.276414946864</v>
      </c>
      <c r="L27" s="116">
        <f>+(L29-L24)/COUNT(B25:B29)+L26</f>
        <v>19441.105659787456</v>
      </c>
      <c r="M27" s="119">
        <f>+(M29-M24)/COUNT(B25:B29)+M26</f>
        <v>236214.72709850807</v>
      </c>
      <c r="N27" s="114">
        <f>+(N29-N24)/COUNT(B25:B29)+N26</f>
        <v>170109.6745231402</v>
      </c>
      <c r="O27" s="115">
        <f>+(O29-O24)/COUNT(B25:B29)+O26</f>
        <v>19441.105659787456</v>
      </c>
      <c r="P27" s="115">
        <f>+(P29-P24)/COUNT(B25:B29)+P26</f>
        <v>24301.38207473432</v>
      </c>
      <c r="Q27" s="115">
        <f>+(Q29-Q24)/COUNT(B25:B29)+Q26</f>
        <v>19441.105659787456</v>
      </c>
      <c r="R27" s="115">
        <f>+(R29-R24)/COUNT(B25:B29)+R26</f>
        <v>4860.276414946864</v>
      </c>
      <c r="S27" s="116">
        <f>+(S29-S24)/COUNT(B25:B29)+S26</f>
        <v>4860.276414946864</v>
      </c>
      <c r="U27" s="100"/>
      <c r="V27" s="107">
        <f t="shared" si="2"/>
        <v>2013</v>
      </c>
      <c r="X27" s="107">
        <f>+X26*(1+'Input - Projection Parameters'!$O$12)^'Input - Projection Parameters'!$F$19*(1+'Input - Projection Parameters'!$O$8)^'Input - Projection Parameters'!$F$20</f>
        <v>0</v>
      </c>
      <c r="Y27" s="117">
        <f>+Y26*(1+'Input - Projection Parameters'!$O$12)^'Input - Projection Parameters'!$F$19*(1+'Input - Projection Parameters'!$O$8)^'Input - Projection Parameters'!$F$20</f>
        <v>125.23387701887142</v>
      </c>
      <c r="Z27" s="117">
        <f>+Z26*(1+'Input - Projection Parameters'!$O$12)^'Input - Projection Parameters'!$F$19*(1+'Input - Projection Parameters'!$O$8)^'Input - Projection Parameters'!$F$20</f>
        <v>156.54234627358926</v>
      </c>
      <c r="AA27" s="117">
        <f>+AA26*(1+'Input - Projection Parameters'!$O$12)^'Input - Projection Parameters'!$F$19*(1+'Input - Projection Parameters'!$O$8)^'Input - Projection Parameters'!$F$20</f>
        <v>140.88811164623036</v>
      </c>
      <c r="AB27" s="117">
        <f>+AB26*(1+'Input - Projection Parameters'!$O$12)^'Input - Projection Parameters'!$F$19*(1+'Input - Projection Parameters'!$O$8)^'Input - Projection Parameters'!$F$20</f>
        <v>130.4519552279911</v>
      </c>
      <c r="AC27" s="117">
        <f>+AC26*(1+'Input - Projection Parameters'!$O$12)^'Input - Projection Parameters'!$F$19*(1+'Input - Projection Parameters'!$O$8)^'Input - Projection Parameters'!$F$20</f>
        <v>83.48925134591428</v>
      </c>
      <c r="AD27" s="117">
        <f>+AD26*(1+'Input - Projection Parameters'!$O$12)^'Input - Projection Parameters'!$F$19*(1+'Input - Projection Parameters'!$O$8)^'Input - Projection Parameters'!$F$20</f>
        <v>52.18078209119641</v>
      </c>
      <c r="AE27" s="117">
        <f>+AE26*(1+'Input - Projection Parameters'!$O$8)^'Input - Projection Parameters'!$F$20</f>
        <v>0</v>
      </c>
      <c r="AF27" s="117">
        <f>+AF26*(1+'Input - Projection Parameters'!$O$8)^'Input - Projection Parameters'!$F$20</f>
        <v>217.61056615300805</v>
      </c>
      <c r="AG27" s="117">
        <f>+AG26*(1+'Input - Projection Parameters'!$O$8)^'Input - Projection Parameters'!$F$20</f>
        <v>272.0132076912601</v>
      </c>
      <c r="AH27" s="117">
        <f>+AH26*(1+'Input - Projection Parameters'!$O$8)^'Input - Projection Parameters'!$F$20</f>
        <v>190.40924538388214</v>
      </c>
      <c r="AI27" s="117">
        <f>+AI26*(1+'Input - Projection Parameters'!$O$8)^'Input - Projection Parameters'!$F$20</f>
        <v>212.1703019991829</v>
      </c>
      <c r="AJ27" s="117">
        <f>+AJ26*(1+'Input - Projection Parameters'!$O$8)^'Input - Projection Parameters'!$F$20</f>
        <v>76.16369815355283</v>
      </c>
      <c r="AK27" s="117">
        <f>+AK26*(1+'Input - Projection Parameters'!$O$8)^'Input - Projection Parameters'!$F$20</f>
        <v>65.28316984590242</v>
      </c>
      <c r="AM27" s="107">
        <f>IF('Input - Projection Parameters'!A37=1,+Calculations!F27*Calculations!X27*365/1000/1000000,0)</f>
        <v>0</v>
      </c>
      <c r="AN27" s="120">
        <f>IF('Input - Projection Parameters'!$A$30=2,+Calculations!G27*Calculations!Y27*365/1000/1000000,0)</f>
        <v>7.775775331517182</v>
      </c>
      <c r="AO27" s="120">
        <f>IF('Input - Projection Parameters'!$A$30=2,+Calculations!H27*Calculations!Z27*365/1000/1000000,0)</f>
        <v>1.3885313091994969</v>
      </c>
      <c r="AP27" s="120">
        <f>IF('Input - Projection Parameters'!$A$30=2,+Calculations!I27*Calculations!AA27*365/1000/1000000,0)</f>
        <v>0.7498069069677284</v>
      </c>
      <c r="AQ27" s="120">
        <f>IF('Input - Projection Parameters'!$A$30=2,+Calculations!J27*Calculations!AB27*365/1000/1000000,0)</f>
        <v>0.46284376973316593</v>
      </c>
      <c r="AR27" s="120">
        <f>IF('Input - Projection Parameters'!$A$30=2,+Calculations!K27*Calculations!AC27*365/1000/1000000,0)</f>
        <v>0.14811000631461305</v>
      </c>
      <c r="AS27" s="120">
        <f>IF('Input - Projection Parameters'!$A$30=2,+Calculations!L27*Calculations!AD27*365/1000/1000000,0)</f>
        <v>0.37027501578653255</v>
      </c>
      <c r="AT27" s="120">
        <f>IF('Input - Projection Parameters'!$A$30=1,+Calculations!M27*Calculations!AE27*365/1000/1000000,0)</f>
        <v>0</v>
      </c>
      <c r="AU27" s="120">
        <f>IF('Input - Projection Parameters'!$A$30=2,+Calculations!N27*Calculations!AF27*365/1000/1000000,0)</f>
        <v>13.51144684209583</v>
      </c>
      <c r="AV27" s="120">
        <f>IF('Input - Projection Parameters'!$A$30=2,+Calculations!O27*Calculations!AG27*365/1000/1000000,0)</f>
        <v>1.9302066917279765</v>
      </c>
      <c r="AW27" s="120">
        <f>IF('Input - Projection Parameters'!$A$30=2,+Calculations!P27*Calculations!AH27*365/1000/1000000,0)</f>
        <v>1.6889308552619804</v>
      </c>
      <c r="AX27" s="120">
        <f>IF('Input - Projection Parameters'!$A$30=2,+Calculations!Q27*Calculations!AI27*365/1000/1000000,0)</f>
        <v>1.5055612195478216</v>
      </c>
      <c r="AY27" s="120">
        <f>IF('Input - Projection Parameters'!$A$30=2,+Calculations!R27*Calculations!AJ27*365/1000/1000000,0)</f>
        <v>0.13511446842095837</v>
      </c>
      <c r="AZ27" s="120">
        <f>IF('Input - Projection Parameters'!$A$30=2,+Calculations!S27*Calculations!AK27*365/1000/1000000,0)</f>
        <v>0.11581240150367858</v>
      </c>
      <c r="BA27" s="130">
        <f t="shared" si="0"/>
        <v>29.782414818076965</v>
      </c>
    </row>
    <row r="28" spans="2:53" ht="12.75">
      <c r="B28" s="4">
        <f t="shared" si="1"/>
        <v>2014</v>
      </c>
      <c r="C28" s="111">
        <f>+C27*(1+'Input - Projection Parameters'!P6)</f>
        <v>571681.1146357065</v>
      </c>
      <c r="D28" s="116"/>
      <c r="E28" s="111">
        <f>+(E29-E24)/COUNT(B25:B29)+E27</f>
        <v>495425.32488687354</v>
      </c>
      <c r="F28" s="118">
        <f>+(F29-F24)/COUNT(B25:B29)+F27</f>
        <v>292676.84901894286</v>
      </c>
      <c r="G28" s="114">
        <f>+(G29-G24)/COUNT(B25:B29)+G27</f>
        <v>173398.86371040568</v>
      </c>
      <c r="H28" s="115">
        <f>+(H29-H24)/COUNT(B25:B29)+H27</f>
        <v>24771.26624434368</v>
      </c>
      <c r="I28" s="115">
        <f>+(I29-I24)/COUNT(B25:B29)+I27</f>
        <v>14862.759746606205</v>
      </c>
      <c r="J28" s="115">
        <f>+(J29-J24)/COUNT(B25:B29)+J27</f>
        <v>9908.506497737471</v>
      </c>
      <c r="K28" s="115">
        <f>+(K29-K24)/COUNT(B25:B29)+K27</f>
        <v>4954.253248868736</v>
      </c>
      <c r="L28" s="116">
        <f>+(L29-L24)/COUNT(B25:B29)+L27</f>
        <v>19817.012995474943</v>
      </c>
      <c r="M28" s="119">
        <f>+(M29-M24)/COUNT(B25:B29)+M27</f>
        <v>234158.62982030245</v>
      </c>
      <c r="N28" s="114">
        <f>+(N29-N24)/COUNT(B25:B29)+N27</f>
        <v>173398.86371040568</v>
      </c>
      <c r="O28" s="115">
        <f>+(O29-O24)/COUNT(B25:B29)+O27</f>
        <v>19817.012995474943</v>
      </c>
      <c r="P28" s="115">
        <f>+(P29-P24)/COUNT(B25:B29)+P27</f>
        <v>24771.26624434368</v>
      </c>
      <c r="Q28" s="115">
        <f>+(Q29-Q24)/COUNT(B25:B29)+Q27</f>
        <v>19817.012995474943</v>
      </c>
      <c r="R28" s="115">
        <f>+(R29-R24)/COUNT(B25:B29)+R27</f>
        <v>4954.253248868736</v>
      </c>
      <c r="S28" s="116">
        <f>+(S29-S24)/COUNT(B25:B29)+S27</f>
        <v>4954.253248868736</v>
      </c>
      <c r="U28" s="100"/>
      <c r="V28" s="107">
        <f t="shared" si="2"/>
        <v>2014</v>
      </c>
      <c r="X28" s="107">
        <f>+X27*(1+'Input - Projection Parameters'!$P$12)^'Input - Projection Parameters'!$F$19*(1+'Input - Projection Parameters'!$P$8)^'Input - Projection Parameters'!$F$20</f>
        <v>0</v>
      </c>
      <c r="Y28" s="117">
        <f>+Y27*(1+'Input - Projection Parameters'!$P$12)^'Input - Projection Parameters'!$F$19*(1+'Input - Projection Parameters'!$P$8)^'Input - Projection Parameters'!$F$20</f>
        <v>126.0382092069116</v>
      </c>
      <c r="Z28" s="117">
        <f>+Z27*(1+'Input - Projection Parameters'!$P$12)^'Input - Projection Parameters'!$F$19*(1+'Input - Projection Parameters'!$P$8)^'Input - Projection Parameters'!$F$20</f>
        <v>157.54776150863947</v>
      </c>
      <c r="AA28" s="117">
        <f>+AA27*(1+'Input - Projection Parameters'!$P$12)^'Input - Projection Parameters'!$F$19*(1+'Input - Projection Parameters'!$P$8)^'Input - Projection Parameters'!$F$20</f>
        <v>141.79298535777556</v>
      </c>
      <c r="AB28" s="117">
        <f>+AB27*(1+'Input - Projection Parameters'!$P$12)^'Input - Projection Parameters'!$F$19*(1+'Input - Projection Parameters'!$P$8)^'Input - Projection Parameters'!$F$20</f>
        <v>131.2898012571996</v>
      </c>
      <c r="AC28" s="117">
        <f>+AC27*(1+'Input - Projection Parameters'!$P$12)^'Input - Projection Parameters'!$F$19*(1+'Input - Projection Parameters'!$P$8)^'Input - Projection Parameters'!$F$20</f>
        <v>84.02547280460773</v>
      </c>
      <c r="AD28" s="117">
        <f>+AD27*(1+'Input - Projection Parameters'!$P$12)^'Input - Projection Parameters'!$F$19*(1+'Input - Projection Parameters'!$P$8)^'Input - Projection Parameters'!$F$20</f>
        <v>52.515920502879816</v>
      </c>
      <c r="AE28" s="117">
        <f>+AE27*(1+'Input - Projection Parameters'!$P$8)^'Input - Projection Parameters'!$F$20</f>
        <v>0</v>
      </c>
      <c r="AF28" s="117">
        <f>+AF27*(1+'Input - Projection Parameters'!$P$8)^'Input - Projection Parameters'!$F$20</f>
        <v>220.3819973243216</v>
      </c>
      <c r="AG28" s="117">
        <f>+AG27*(1+'Input - Projection Parameters'!$P$8)^'Input - Projection Parameters'!$F$20</f>
        <v>275.47749665540204</v>
      </c>
      <c r="AH28" s="117">
        <f>+AH27*(1+'Input - Projection Parameters'!$P$8)^'Input - Projection Parameters'!$F$20</f>
        <v>192.8342476587815</v>
      </c>
      <c r="AI28" s="117">
        <f>+AI27*(1+'Input - Projection Parameters'!$P$8)^'Input - Projection Parameters'!$F$20</f>
        <v>214.8724473912136</v>
      </c>
      <c r="AJ28" s="117">
        <f>+AJ27*(1+'Input - Projection Parameters'!$P$8)^'Input - Projection Parameters'!$F$20</f>
        <v>77.13369906351257</v>
      </c>
      <c r="AK28" s="117">
        <f>+AK27*(1+'Input - Projection Parameters'!$P$8)^'Input - Projection Parameters'!$F$20</f>
        <v>66.11459919729649</v>
      </c>
      <c r="AM28" s="107">
        <f>IF('Input - Projection Parameters'!A38=1,+Calculations!F28*Calculations!X28*365/1000/1000000,0)</f>
        <v>0</v>
      </c>
      <c r="AN28" s="120">
        <f>IF('Input - Projection Parameters'!$A$30=2,+Calculations!G28*Calculations!Y28*365/1000/1000000,0)</f>
        <v>7.977032025109096</v>
      </c>
      <c r="AO28" s="120">
        <f>IF('Input - Projection Parameters'!$A$30=2,+Calculations!H28*Calculations!Z28*365/1000/1000000,0)</f>
        <v>1.4244700044837673</v>
      </c>
      <c r="AP28" s="120">
        <f>IF('Input - Projection Parameters'!$A$30=2,+Calculations!I28*Calculations!AA28*365/1000/1000000,0)</f>
        <v>0.7692138024212344</v>
      </c>
      <c r="AQ28" s="120">
        <f>IF('Input - Projection Parameters'!$A$30=2,+Calculations!J28*Calculations!AB28*365/1000/1000000,0)</f>
        <v>0.4748233348279225</v>
      </c>
      <c r="AR28" s="120">
        <f>IF('Input - Projection Parameters'!$A$30=2,+Calculations!K28*Calculations!AC28*365/1000/1000000,0)</f>
        <v>0.15194346714493523</v>
      </c>
      <c r="AS28" s="120">
        <f>IF('Input - Projection Parameters'!$A$30=2,+Calculations!L28*Calculations!AD28*365/1000/1000000,0)</f>
        <v>0.3798586678623379</v>
      </c>
      <c r="AT28" s="120">
        <f>IF('Input - Projection Parameters'!$A$30=1,+Calculations!M28*Calculations!AE28*365/1000/1000000,0)</f>
        <v>0</v>
      </c>
      <c r="AU28" s="120">
        <f>IF('Input - Projection Parameters'!$A$30=2,+Calculations!N28*Calculations!AF28*365/1000/1000000,0)</f>
        <v>13.948105590167465</v>
      </c>
      <c r="AV28" s="120">
        <f>IF('Input - Projection Parameters'!$A$30=2,+Calculations!O28*Calculations!AG28*365/1000/1000000,0)</f>
        <v>1.9925865128810678</v>
      </c>
      <c r="AW28" s="120">
        <f>IF('Input - Projection Parameters'!$A$30=2,+Calculations!P28*Calculations!AH28*365/1000/1000000,0)</f>
        <v>1.7435131987709347</v>
      </c>
      <c r="AX28" s="120">
        <f>IF('Input - Projection Parameters'!$A$30=2,+Calculations!Q28*Calculations!AI28*365/1000/1000000,0)</f>
        <v>1.554217480047233</v>
      </c>
      <c r="AY28" s="120">
        <f>IF('Input - Projection Parameters'!$A$30=2,+Calculations!R28*Calculations!AJ28*365/1000/1000000,0)</f>
        <v>0.13948105590167473</v>
      </c>
      <c r="AZ28" s="120">
        <f>IF('Input - Projection Parameters'!$A$30=2,+Calculations!S28*Calculations!AK28*365/1000/1000000,0)</f>
        <v>0.11955519077286407</v>
      </c>
      <c r="BA28" s="130">
        <f t="shared" si="0"/>
        <v>30.674800330390532</v>
      </c>
    </row>
    <row r="29" spans="2:53" ht="12.75">
      <c r="B29" s="4">
        <f t="shared" si="1"/>
        <v>2015</v>
      </c>
      <c r="C29" s="111">
        <f>+C28*(1+'Input - Projection Parameters'!Q6)</f>
        <v>580256.3313552421</v>
      </c>
      <c r="D29" s="116"/>
      <c r="E29" s="111">
        <f>+'Input - Projection Parameters'!F66*Calculations!C29</f>
        <v>504823.0082790606</v>
      </c>
      <c r="F29" s="118">
        <f>+E29*'Input - Projection Parameters'!G82</f>
        <v>302893.80496743636</v>
      </c>
      <c r="G29" s="114">
        <f>+E29*'Input - Projection Parameters'!G85</f>
        <v>176688.0528976712</v>
      </c>
      <c r="H29" s="115">
        <f>+E29*'Input - Projection Parameters'!G86</f>
        <v>25241.15041395303</v>
      </c>
      <c r="I29" s="115">
        <f>+E29*'Input - Projection Parameters'!G87</f>
        <v>15144.690248371817</v>
      </c>
      <c r="J29" s="115">
        <f>+E29*'Input - Projection Parameters'!G88</f>
        <v>10096.460165581213</v>
      </c>
      <c r="K29" s="115">
        <f>+E29*'Input - Projection Parameters'!G89</f>
        <v>5048.2300827906065</v>
      </c>
      <c r="L29" s="116">
        <f>+E29*'Input - Projection Parameters'!G90</f>
        <v>20192.920331162426</v>
      </c>
      <c r="M29" s="119">
        <f>+C29*'Input - Projection Parameters'!G92</f>
        <v>232102.53254209683</v>
      </c>
      <c r="N29" s="114">
        <f>+E29*'Input - Projection Parameters'!G94</f>
        <v>176688.0528976712</v>
      </c>
      <c r="O29" s="115">
        <f>+E29*'Input - Projection Parameters'!G95</f>
        <v>20192.920331162426</v>
      </c>
      <c r="P29" s="115">
        <f>+E29*'Input - Projection Parameters'!G96</f>
        <v>25241.15041395303</v>
      </c>
      <c r="Q29" s="115">
        <f>+E29*'Input - Projection Parameters'!G97</f>
        <v>20192.920331162426</v>
      </c>
      <c r="R29" s="115">
        <f>+E29*'Input - Projection Parameters'!G98</f>
        <v>5048.2300827906065</v>
      </c>
      <c r="S29" s="116">
        <f>+E29*'Input - Projection Parameters'!G99</f>
        <v>5048.2300827906065</v>
      </c>
      <c r="U29" s="100"/>
      <c r="V29" s="107">
        <f t="shared" si="2"/>
        <v>2015</v>
      </c>
      <c r="X29" s="107">
        <f>+X28*(1+'Input - Projection Parameters'!$Q$12)^'Input - Projection Parameters'!$F$19*(1+'Input - Projection Parameters'!$Q$8)^'Input - Projection Parameters'!$F$20</f>
        <v>0</v>
      </c>
      <c r="Y29" s="117">
        <f>+Y28*(1+'Input - Projection Parameters'!$Q$12)^'Input - Projection Parameters'!$F$19*(1+'Input - Projection Parameters'!$Q$8)^'Input - Projection Parameters'!$F$20</f>
        <v>126.84770733155071</v>
      </c>
      <c r="Z29" s="117">
        <f>+Z28*(1+'Input - Projection Parameters'!$Q$12)^'Input - Projection Parameters'!$F$19*(1+'Input - Projection Parameters'!$Q$8)^'Input - Projection Parameters'!$F$20</f>
        <v>158.55963416443834</v>
      </c>
      <c r="AA29" s="117">
        <f>+AA28*(1+'Input - Projection Parameters'!$Q$12)^'Input - Projection Parameters'!$F$19*(1+'Input - Projection Parameters'!$Q$8)^'Input - Projection Parameters'!$F$20</f>
        <v>142.70367074799455</v>
      </c>
      <c r="AB29" s="117">
        <f>+AB28*(1+'Input - Projection Parameters'!$Q$12)^'Input - Projection Parameters'!$F$19*(1+'Input - Projection Parameters'!$Q$8)^'Input - Projection Parameters'!$F$20</f>
        <v>132.13302847036533</v>
      </c>
      <c r="AC29" s="117">
        <f>+AC28*(1+'Input - Projection Parameters'!$Q$12)^'Input - Projection Parameters'!$F$19*(1+'Input - Projection Parameters'!$Q$8)^'Input - Projection Parameters'!$F$20</f>
        <v>84.5651382210338</v>
      </c>
      <c r="AD29" s="117">
        <f>+AD28*(1+'Input - Projection Parameters'!$Q$12)^'Input - Projection Parameters'!$F$19*(1+'Input - Projection Parameters'!$Q$8)^'Input - Projection Parameters'!$F$20</f>
        <v>52.85321138814611</v>
      </c>
      <c r="AE29" s="117">
        <f>+AE28*(1+'Input - Projection Parameters'!$Q$8)^'Input - Projection Parameters'!$F$20</f>
        <v>0</v>
      </c>
      <c r="AF29" s="117">
        <f>+AF28*(1+'Input - Projection Parameters'!$Q$8)^'Input - Projection Parameters'!$F$20</f>
        <v>223.18872471710597</v>
      </c>
      <c r="AG29" s="117">
        <f>+AG28*(1+'Input - Projection Parameters'!$Q$8)^'Input - Projection Parameters'!$F$20</f>
        <v>278.9859058963825</v>
      </c>
      <c r="AH29" s="117">
        <f>+AH28*(1+'Input - Projection Parameters'!$Q$8)^'Input - Projection Parameters'!$F$20</f>
        <v>195.2901341274678</v>
      </c>
      <c r="AI29" s="117">
        <f>+AI28*(1+'Input - Projection Parameters'!$Q$8)^'Input - Projection Parameters'!$F$20</f>
        <v>217.60900659917837</v>
      </c>
      <c r="AJ29" s="117">
        <f>+AJ28*(1+'Input - Projection Parameters'!$Q$8)^'Input - Projection Parameters'!$F$20</f>
        <v>78.1160536509871</v>
      </c>
      <c r="AK29" s="117">
        <f>+AK28*(1+'Input - Projection Parameters'!$Q$8)^'Input - Projection Parameters'!$F$20</f>
        <v>66.9566174151318</v>
      </c>
      <c r="AM29" s="107">
        <f>IF('Input - Projection Parameters'!A39=1,+Calculations!F29*Calculations!X29*365/1000/1000000,0)</f>
        <v>0</v>
      </c>
      <c r="AN29" s="120">
        <f>IF('Input - Projection Parameters'!$A$30=2,+Calculations!G29*Calculations!Y29*365/1000/1000000,0)</f>
        <v>8.180553164375052</v>
      </c>
      <c r="AO29" s="120">
        <f>IF('Input - Projection Parameters'!$A$30=2,+Calculations!H29*Calculations!Z29*365/1000/1000000,0)</f>
        <v>1.460813065066973</v>
      </c>
      <c r="AP29" s="120">
        <f>IF('Input - Projection Parameters'!$A$30=2,+Calculations!I29*Calculations!AA29*365/1000/1000000,0)</f>
        <v>0.7888390551361656</v>
      </c>
      <c r="AQ29" s="120">
        <f>IF('Input - Projection Parameters'!$A$30=2,+Calculations!J29*Calculations!AB29*365/1000/1000000,0)</f>
        <v>0.4869376883556579</v>
      </c>
      <c r="AR29" s="120">
        <f>IF('Input - Projection Parameters'!$A$30=2,+Calculations!K29*Calculations!AC29*365/1000/1000000,0)</f>
        <v>0.1558200602738105</v>
      </c>
      <c r="AS29" s="120">
        <f>IF('Input - Projection Parameters'!$A$30=2,+Calculations!L29*Calculations!AD29*365/1000/1000000,0)</f>
        <v>0.38955015068452614</v>
      </c>
      <c r="AT29" s="120">
        <f>IF('Input - Projection Parameters'!$A$30=1,+Calculations!M29*Calculations!AE29*365/1000/1000000,0)</f>
        <v>0</v>
      </c>
      <c r="AU29" s="120">
        <f>IF('Input - Projection Parameters'!$A$30=2,+Calculations!N29*Calculations!AF29*365/1000/1000000,0)</f>
        <v>14.393695137627624</v>
      </c>
      <c r="AV29" s="120">
        <f>IF('Input - Projection Parameters'!$A$30=2,+Calculations!O29*Calculations!AG29*365/1000/1000000,0)</f>
        <v>2.0562421625182328</v>
      </c>
      <c r="AW29" s="120">
        <f>IF('Input - Projection Parameters'!$A$30=2,+Calculations!P29*Calculations!AH29*365/1000/1000000,0)</f>
        <v>1.7992118922034541</v>
      </c>
      <c r="AX29" s="120">
        <f>IF('Input - Projection Parameters'!$A$30=2,+Calculations!Q29*Calculations!AI29*365/1000/1000000,0)</f>
        <v>1.603868886764222</v>
      </c>
      <c r="AY29" s="120">
        <f>IF('Input - Projection Parameters'!$A$30=2,+Calculations!R29*Calculations!AJ29*365/1000/1000000,0)</f>
        <v>0.1439369513762763</v>
      </c>
      <c r="AZ29" s="120">
        <f>IF('Input - Projection Parameters'!$A$30=2,+Calculations!S29*Calculations!AK29*365/1000/1000000,0)</f>
        <v>0.12337452975109398</v>
      </c>
      <c r="BA29" s="130">
        <f t="shared" si="0"/>
        <v>31.582842744133085</v>
      </c>
    </row>
    <row r="30" spans="2:53" ht="12.75">
      <c r="B30" s="4">
        <f t="shared" si="1"/>
        <v>2016</v>
      </c>
      <c r="C30" s="111">
        <f>+C29*(1+'Input - Projection Parameters'!R6)</f>
        <v>588960.1763255707</v>
      </c>
      <c r="D30" s="116"/>
      <c r="E30" s="111">
        <f>+(E34-E29)/COUNT(B30:B34)+E29</f>
        <v>516376.5621291425</v>
      </c>
      <c r="F30" s="118">
        <f>+(F34-F29)/COUNT(B30:B34)+F29</f>
        <v>321077.7528280749</v>
      </c>
      <c r="G30" s="114">
        <f>+(G34-G29)/COUNT(B30:B34)+G29</f>
        <v>180731.79674519988</v>
      </c>
      <c r="H30" s="115">
        <f>+(H34-H29)/COUNT(B30:B34)+H29</f>
        <v>25818.828106457127</v>
      </c>
      <c r="I30" s="115">
        <f>+(I34-I29)/COUNT(B30:B34)+I29</f>
        <v>15491.296863874275</v>
      </c>
      <c r="J30" s="115">
        <f>+(J34-J29)/COUNT(B30:B34)+J29</f>
        <v>10327.53124258285</v>
      </c>
      <c r="K30" s="115">
        <f>+(K34-K29)/COUNT(B30:B34)+K29</f>
        <v>5163.765621291425</v>
      </c>
      <c r="L30" s="116">
        <f>+(L34-L29)/COUNT(B30:B34)+L29</f>
        <v>20655.0624851657</v>
      </c>
      <c r="M30" s="119">
        <f>+(M34-M28)/COUNT(B30:B34)+M29</f>
        <v>222776.85841333435</v>
      </c>
      <c r="N30" s="114">
        <f>+(N34-N29)/COUNT(B30:B34)+N29</f>
        <v>180731.79674519988</v>
      </c>
      <c r="O30" s="115">
        <f>+(O34-O29)/COUNT(B30:B34)+O29</f>
        <v>20655.0624851657</v>
      </c>
      <c r="P30" s="115">
        <f>+(P34-P29)/COUNT(B30:B34)+P29</f>
        <v>25818.828106457127</v>
      </c>
      <c r="Q30" s="115">
        <f>+(Q34-Q29)/COUNT(B30:B34)+Q29</f>
        <v>20655.0624851657</v>
      </c>
      <c r="R30" s="115">
        <f>+(R34-R29)/COUNT(B30:B34)+R29</f>
        <v>5163.765621291425</v>
      </c>
      <c r="S30" s="116">
        <f>+(S34-S29)/COUNT(B30:B34)+S29</f>
        <v>5163.765621291425</v>
      </c>
      <c r="U30" s="100"/>
      <c r="V30" s="107">
        <f t="shared" si="2"/>
        <v>2016</v>
      </c>
      <c r="X30" s="107">
        <f>+X29*(1+'Input - Projection Parameters'!$R$12)^'Input - Projection Parameters'!$F$19*(1+'Input - Projection Parameters'!$R$8)^'Input - Projection Parameters'!$F$20</f>
        <v>0</v>
      </c>
      <c r="Y30" s="117">
        <f>+Y29*(1+'Input - Projection Parameters'!$R$12)^'Input - Projection Parameters'!$F$19*(1+'Input - Projection Parameters'!$R$8)^'Input - Projection Parameters'!$F$20</f>
        <v>127.66240457174308</v>
      </c>
      <c r="Z30" s="117">
        <f>+Z29*(1+'Input - Projection Parameters'!$R$12)^'Input - Projection Parameters'!$F$19*(1+'Input - Projection Parameters'!$R$8)^'Input - Projection Parameters'!$F$20</f>
        <v>159.57800571467882</v>
      </c>
      <c r="AA30" s="117">
        <f>+AA29*(1+'Input - Projection Parameters'!$R$12)^'Input - Projection Parameters'!$F$19*(1+'Input - Projection Parameters'!$R$8)^'Input - Projection Parameters'!$F$20</f>
        <v>143.62020514321097</v>
      </c>
      <c r="AB30" s="117">
        <f>+AB29*(1+'Input - Projection Parameters'!$R$12)^'Input - Projection Parameters'!$F$19*(1+'Input - Projection Parameters'!$R$8)^'Input - Projection Parameters'!$F$20</f>
        <v>132.98167142889903</v>
      </c>
      <c r="AC30" s="117">
        <f>+AC29*(1+'Input - Projection Parameters'!$R$12)^'Input - Projection Parameters'!$F$19*(1+'Input - Projection Parameters'!$R$8)^'Input - Projection Parameters'!$F$20</f>
        <v>85.10826971449539</v>
      </c>
      <c r="AD30" s="117">
        <f>+AD29*(1+'Input - Projection Parameters'!$R$12)^'Input - Projection Parameters'!$F$19*(1+'Input - Projection Parameters'!$R$8)^'Input - Projection Parameters'!$F$20</f>
        <v>53.192668571559594</v>
      </c>
      <c r="AE30" s="117">
        <f>+AE29*(1+'Input - Projection Parameters'!$R$8)^'Input - Projection Parameters'!$F$20</f>
        <v>0</v>
      </c>
      <c r="AF30" s="117">
        <f>+AF29*(1+'Input - Projection Parameters'!$R$8)^'Input - Projection Parameters'!$F$20</f>
        <v>226.0311978547926</v>
      </c>
      <c r="AG30" s="117">
        <f>+AG29*(1+'Input - Projection Parameters'!$R$8)^'Input - Projection Parameters'!$F$20</f>
        <v>282.53899731849083</v>
      </c>
      <c r="AH30" s="117">
        <f>+AH29*(1+'Input - Projection Parameters'!$R$8)^'Input - Projection Parameters'!$F$20</f>
        <v>197.77729812294362</v>
      </c>
      <c r="AI30" s="117">
        <f>+AI29*(1+'Input - Projection Parameters'!$R$8)^'Input - Projection Parameters'!$F$20</f>
        <v>220.38041790842286</v>
      </c>
      <c r="AJ30" s="117">
        <f>+AJ29*(1+'Input - Projection Parameters'!$R$8)^'Input - Projection Parameters'!$F$20</f>
        <v>79.11091924917741</v>
      </c>
      <c r="AK30" s="117">
        <f>+AK29*(1+'Input - Projection Parameters'!$R$8)^'Input - Projection Parameters'!$F$20</f>
        <v>67.8093593564378</v>
      </c>
      <c r="AM30" s="107">
        <f>IF('Input - Projection Parameters'!A40=1,+Calculations!F30*Calculations!X30*365/1000/1000000,0)</f>
        <v>0</v>
      </c>
      <c r="AN30" s="120">
        <f>IF('Input - Projection Parameters'!$A$30=2,+Calculations!G30*Calculations!Y30*365/1000/1000000,0)</f>
        <v>8.421519350598269</v>
      </c>
      <c r="AO30" s="120">
        <f>IF('Input - Projection Parameters'!$A$30=2,+Calculations!H30*Calculations!Z30*365/1000/1000000,0)</f>
        <v>1.5038427411782618</v>
      </c>
      <c r="AP30" s="120">
        <f>IF('Input - Projection Parameters'!$A$30=2,+Calculations!I30*Calculations!AA30*365/1000/1000000,0)</f>
        <v>0.8120750802362615</v>
      </c>
      <c r="AQ30" s="120">
        <f>IF('Input - Projection Parameters'!$A$30=2,+Calculations!J30*Calculations!AB30*365/1000/1000000,0)</f>
        <v>0.5012809137260874</v>
      </c>
      <c r="AR30" s="120">
        <f>IF('Input - Projection Parameters'!$A$30=2,+Calculations!K30*Calculations!AC30*365/1000/1000000,0)</f>
        <v>0.16040989239234799</v>
      </c>
      <c r="AS30" s="120">
        <f>IF('Input - Projection Parameters'!$A$30=2,+Calculations!L30*Calculations!AD30*365/1000/1000000,0)</f>
        <v>0.40102473098086966</v>
      </c>
      <c r="AT30" s="120">
        <f>IF('Input - Projection Parameters'!$A$30=1,+Calculations!M30*Calculations!AE30*365/1000/1000000,0)</f>
        <v>0</v>
      </c>
      <c r="AU30" s="120">
        <f>IF('Input - Projection Parameters'!$A$30=2,+Calculations!N30*Calculations!AF30*365/1000/1000000,0)</f>
        <v>14.910623945699749</v>
      </c>
      <c r="AV30" s="120">
        <f>IF('Input - Projection Parameters'!$A$30=2,+Calculations!O30*Calculations!AG30*365/1000/1000000,0)</f>
        <v>2.130089135099965</v>
      </c>
      <c r="AW30" s="120">
        <f>IF('Input - Projection Parameters'!$A$30=2,+Calculations!P30*Calculations!AH30*365/1000/1000000,0)</f>
        <v>1.8638279932124697</v>
      </c>
      <c r="AX30" s="120">
        <f>IF('Input - Projection Parameters'!$A$30=2,+Calculations!Q30*Calculations!AI30*365/1000/1000000,0)</f>
        <v>1.6614695253779728</v>
      </c>
      <c r="AY30" s="120">
        <f>IF('Input - Projection Parameters'!$A$30=2,+Calculations!R30*Calculations!AJ30*365/1000/1000000,0)</f>
        <v>0.14910623945699752</v>
      </c>
      <c r="AZ30" s="120">
        <f>IF('Input - Projection Parameters'!$A$30=2,+Calculations!S30*Calculations!AK30*365/1000/1000000,0)</f>
        <v>0.1278053481059979</v>
      </c>
      <c r="BA30" s="130">
        <f t="shared" si="0"/>
        <v>32.64307489606526</v>
      </c>
    </row>
    <row r="31" spans="2:53" ht="12.75">
      <c r="B31" s="4">
        <f t="shared" si="1"/>
        <v>2017</v>
      </c>
      <c r="C31" s="111">
        <f>+C30*(1+'Input - Projection Parameters'!S6)</f>
        <v>597794.5789704542</v>
      </c>
      <c r="D31" s="116"/>
      <c r="E31" s="111">
        <f>+(E34-E29)/COUNT(B30:B34)+E30</f>
        <v>527930.1159792244</v>
      </c>
      <c r="F31" s="118">
        <f>+(F34-F29)/COUNT(B30:B34)+F30</f>
        <v>339261.70068871346</v>
      </c>
      <c r="G31" s="114">
        <f>+(G34-G29)/COUNT(B30:B34)+G30</f>
        <v>184775.54059272856</v>
      </c>
      <c r="H31" s="115">
        <f>+(H34-H29)/COUNT(B30:B34)+H30</f>
        <v>26396.505798961225</v>
      </c>
      <c r="I31" s="115">
        <f>+(I34-I29)/COUNT(B30:B34)+I30</f>
        <v>15837.903479376733</v>
      </c>
      <c r="J31" s="115">
        <f>+(J34-J29)/COUNT(B30:B34)+J30</f>
        <v>10558.602319584488</v>
      </c>
      <c r="K31" s="115">
        <f>+(K34-K29)/COUNT(B30:B34)+K30</f>
        <v>5279.301159792244</v>
      </c>
      <c r="L31" s="116">
        <f>+(L34-L29)/COUNT(B30:B34)+L30</f>
        <v>21117.204639168976</v>
      </c>
      <c r="M31" s="119">
        <f>+(M34-M28)/COUNT(B30:B34)+M30</f>
        <v>213451.18428457188</v>
      </c>
      <c r="N31" s="114">
        <f>+(N34-N29)/COUNT(B30:B34)+N30</f>
        <v>184775.54059272856</v>
      </c>
      <c r="O31" s="115">
        <f>+(O34-O29)/COUNT(B30:B34)+O30</f>
        <v>21117.204639168976</v>
      </c>
      <c r="P31" s="115">
        <f>+(P34-P29)/COUNT(B30:B34)+P30</f>
        <v>26396.505798961225</v>
      </c>
      <c r="Q31" s="115">
        <f>+(Q34-Q29)/COUNT(B30:B34)+Q30</f>
        <v>21117.204639168976</v>
      </c>
      <c r="R31" s="115">
        <f>+(R34-R29)/COUNT(B30:B34)+R30</f>
        <v>5279.301159792244</v>
      </c>
      <c r="S31" s="116">
        <f>+(S34-S29)/COUNT(B30:B34)+S30</f>
        <v>5279.301159792244</v>
      </c>
      <c r="U31" s="100"/>
      <c r="V31" s="107">
        <f t="shared" si="2"/>
        <v>2017</v>
      </c>
      <c r="X31" s="107">
        <f>+X30*(1+'Input - Projection Parameters'!$S$12)^'Input - Projection Parameters'!$F$19*(1+'Input - Projection Parameters'!$S$8)^'Input - Projection Parameters'!$F$20</f>
        <v>0</v>
      </c>
      <c r="Y31" s="117">
        <f>+Y30*(1+'Input - Projection Parameters'!$S$12)^'Input - Projection Parameters'!$F$19*(1+'Input - Projection Parameters'!$S$8)^'Input - Projection Parameters'!$F$20</f>
        <v>128.48233431953958</v>
      </c>
      <c r="Z31" s="117">
        <f>+Z30*(1+'Input - Projection Parameters'!$S$12)^'Input - Projection Parameters'!$F$19*(1+'Input - Projection Parameters'!$S$8)^'Input - Projection Parameters'!$F$20</f>
        <v>160.60291789942443</v>
      </c>
      <c r="AA31" s="117">
        <f>+AA30*(1+'Input - Projection Parameters'!$S$12)^'Input - Projection Parameters'!$F$19*(1+'Input - Projection Parameters'!$S$8)^'Input - Projection Parameters'!$F$20</f>
        <v>144.54262610948203</v>
      </c>
      <c r="AB31" s="117">
        <f>+AB30*(1+'Input - Projection Parameters'!$S$12)^'Input - Projection Parameters'!$F$19*(1+'Input - Projection Parameters'!$S$8)^'Input - Projection Parameters'!$F$20</f>
        <v>133.83576491618703</v>
      </c>
      <c r="AC31" s="117">
        <f>+AC30*(1+'Input - Projection Parameters'!$S$12)^'Input - Projection Parameters'!$F$19*(1+'Input - Projection Parameters'!$S$8)^'Input - Projection Parameters'!$F$20</f>
        <v>85.65488954635973</v>
      </c>
      <c r="AD31" s="117">
        <f>+AD30*(1+'Input - Projection Parameters'!$S$12)^'Input - Projection Parameters'!$F$19*(1+'Input - Projection Parameters'!$S$8)^'Input - Projection Parameters'!$F$20</f>
        <v>53.5343059664748</v>
      </c>
      <c r="AE31" s="117">
        <f>+AE30*(1+'Input - Projection Parameters'!$S$8)^'Input - Projection Parameters'!$F$20</f>
        <v>0</v>
      </c>
      <c r="AF31" s="117">
        <f>+AF30*(1+'Input - Projection Parameters'!$S$8)^'Input - Projection Parameters'!$F$20</f>
        <v>228.90987198582562</v>
      </c>
      <c r="AG31" s="117">
        <f>+AG30*(1+'Input - Projection Parameters'!$S$8)^'Input - Projection Parameters'!$F$20</f>
        <v>286.13733998228207</v>
      </c>
      <c r="AH31" s="117">
        <f>+AH30*(1+'Input - Projection Parameters'!$S$8)^'Input - Projection Parameters'!$F$20</f>
        <v>200.29613798759752</v>
      </c>
      <c r="AI31" s="117">
        <f>+AI30*(1+'Input - Projection Parameters'!$S$8)^'Input - Projection Parameters'!$F$20</f>
        <v>223.18712518618005</v>
      </c>
      <c r="AJ31" s="117">
        <f>+AJ30*(1+'Input - Projection Parameters'!$S$8)^'Input - Projection Parameters'!$F$20</f>
        <v>80.11845519503896</v>
      </c>
      <c r="AK31" s="117">
        <f>+AK30*(1+'Input - Projection Parameters'!$S$8)^'Input - Projection Parameters'!$F$20</f>
        <v>68.6729615957477</v>
      </c>
      <c r="AM31" s="107">
        <f>IF('Input - Projection Parameters'!A41=1,+Calculations!F31*Calculations!X31*365/1000/1000000,0)</f>
        <v>0</v>
      </c>
      <c r="AN31" s="120">
        <f>IF('Input - Projection Parameters'!$A$30=2,+Calculations!G31*Calculations!Y31*365/1000/1000000,0)</f>
        <v>8.665243364885642</v>
      </c>
      <c r="AO31" s="120">
        <f>IF('Input - Projection Parameters'!$A$30=2,+Calculations!H31*Calculations!Z31*365/1000/1000000,0)</f>
        <v>1.5473648865867216</v>
      </c>
      <c r="AP31" s="120">
        <f>IF('Input - Projection Parameters'!$A$30=2,+Calculations!I31*Calculations!AA31*365/1000/1000000,0)</f>
        <v>0.8355770387568295</v>
      </c>
      <c r="AQ31" s="120">
        <f>IF('Input - Projection Parameters'!$A$30=2,+Calculations!J31*Calculations!AB31*365/1000/1000000,0)</f>
        <v>0.515788295528907</v>
      </c>
      <c r="AR31" s="120">
        <f>IF('Input - Projection Parameters'!$A$30=2,+Calculations!K31*Calculations!AC31*365/1000/1000000,0)</f>
        <v>0.1650522545692503</v>
      </c>
      <c r="AS31" s="120">
        <f>IF('Input - Projection Parameters'!$A$30=2,+Calculations!L31*Calculations!AD31*365/1000/1000000,0)</f>
        <v>0.4126306364231256</v>
      </c>
      <c r="AT31" s="120">
        <f>IF('Input - Projection Parameters'!$A$30=1,+Calculations!M31*Calculations!AE31*365/1000/1000000,0)</f>
        <v>0</v>
      </c>
      <c r="AU31" s="120">
        <f>IF('Input - Projection Parameters'!$A$30=2,+Calculations!N31*Calculations!AF31*365/1000/1000000,0)</f>
        <v>15.438385050265525</v>
      </c>
      <c r="AV31" s="120">
        <f>IF('Input - Projection Parameters'!$A$30=2,+Calculations!O31*Calculations!AG31*365/1000/1000000,0)</f>
        <v>2.2054835786093614</v>
      </c>
      <c r="AW31" s="120">
        <f>IF('Input - Projection Parameters'!$A$30=2,+Calculations!P31*Calculations!AH31*365/1000/1000000,0)</f>
        <v>1.929798131283192</v>
      </c>
      <c r="AX31" s="120">
        <f>IF('Input - Projection Parameters'!$A$30=2,+Calculations!Q31*Calculations!AI31*365/1000/1000000,0)</f>
        <v>1.7202771913153019</v>
      </c>
      <c r="AY31" s="120">
        <f>IF('Input - Projection Parameters'!$A$30=2,+Calculations!R31*Calculations!AJ31*365/1000/1000000,0)</f>
        <v>0.15438385050265524</v>
      </c>
      <c r="AZ31" s="120">
        <f>IF('Input - Projection Parameters'!$A$30=2,+Calculations!S31*Calculations!AK31*365/1000/1000000,0)</f>
        <v>0.13232901471656164</v>
      </c>
      <c r="BA31" s="130">
        <f t="shared" si="0"/>
        <v>33.72231329344307</v>
      </c>
    </row>
    <row r="32" spans="2:53" ht="12.75">
      <c r="B32" s="4">
        <f t="shared" si="1"/>
        <v>2018</v>
      </c>
      <c r="C32" s="111">
        <f>+C31*(1+'Input - Projection Parameters'!T6)</f>
        <v>606761.4976550109</v>
      </c>
      <c r="D32" s="116"/>
      <c r="E32" s="111">
        <f>+(E34-E29)/COUNT(B30:B34)+E31</f>
        <v>539483.6698293063</v>
      </c>
      <c r="F32" s="118">
        <f>+(F34-F29)/COUNT(B30:B34)+F31</f>
        <v>357445.648549352</v>
      </c>
      <c r="G32" s="114">
        <f>+(G34-G29)/COUNT(B30:B34)+G31</f>
        <v>188819.28444025724</v>
      </c>
      <c r="H32" s="115">
        <f>+(H34-H29)/COUNT(B30:B34)+H31</f>
        <v>26974.183491465323</v>
      </c>
      <c r="I32" s="115">
        <f>+(I34-I29)/COUNT(B30:B34)+I31</f>
        <v>16184.510094879191</v>
      </c>
      <c r="J32" s="115">
        <f>+(J34-J29)/COUNT(B30:B34)+J31</f>
        <v>10789.673396586126</v>
      </c>
      <c r="K32" s="115">
        <f>+(K34-K29)/COUNT(B30:B34)+K31</f>
        <v>5394.836698293063</v>
      </c>
      <c r="L32" s="116">
        <f>+(L34-L29)/COUNT(B30:B34)+L31</f>
        <v>21579.34679317225</v>
      </c>
      <c r="M32" s="119">
        <f>+(M34-M29)/COUNT(B30:B34)+M31</f>
        <v>204536.72961145052</v>
      </c>
      <c r="N32" s="114">
        <f>+(N34-N29)/COUNT(B30:B34)+N31</f>
        <v>188819.28444025724</v>
      </c>
      <c r="O32" s="115">
        <f>+(O34-O29)/COUNT(B30:B34)+O31</f>
        <v>21579.34679317225</v>
      </c>
      <c r="P32" s="115">
        <f>+(P34-P29)/COUNT(B30:B34)+P31</f>
        <v>26974.183491465323</v>
      </c>
      <c r="Q32" s="115">
        <f>+(Q34-Q29)/COUNT(B30:B34)+Q31</f>
        <v>21579.34679317225</v>
      </c>
      <c r="R32" s="115">
        <f>+(R34-R29)/COUNT(B30:B34)+R31</f>
        <v>5394.836698293063</v>
      </c>
      <c r="S32" s="116">
        <f>+(S34-S29)/COUNT(B30:B34)+S31</f>
        <v>5394.836698293063</v>
      </c>
      <c r="U32" s="100"/>
      <c r="V32" s="107">
        <f t="shared" si="2"/>
        <v>2018</v>
      </c>
      <c r="X32" s="107">
        <f>+X31*(1+'Input - Projection Parameters'!$T$12)^'Input - Projection Parameters'!$F$19*(1+'Input - Projection Parameters'!$T$8)^'Input - Projection Parameters'!$F$20</f>
        <v>0</v>
      </c>
      <c r="Y32" s="117">
        <f>+Y31*(1+'Input - Projection Parameters'!$T$12)^'Input - Projection Parameters'!$F$19*(1+'Input - Projection Parameters'!$T$8)^'Input - Projection Parameters'!$F$20</f>
        <v>129.30753018145617</v>
      </c>
      <c r="Z32" s="117">
        <f>+Z31*(1+'Input - Projection Parameters'!$T$12)^'Input - Projection Parameters'!$F$19*(1+'Input - Projection Parameters'!$T$8)^'Input - Projection Parameters'!$F$20</f>
        <v>161.6344127268202</v>
      </c>
      <c r="AA32" s="117">
        <f>+AA31*(1+'Input - Projection Parameters'!$T$12)^'Input - Projection Parameters'!$F$19*(1+'Input - Projection Parameters'!$T$8)^'Input - Projection Parameters'!$F$20</f>
        <v>145.4709714541382</v>
      </c>
      <c r="AB32" s="117">
        <f>+AB31*(1+'Input - Projection Parameters'!$T$12)^'Input - Projection Parameters'!$F$19*(1+'Input - Projection Parameters'!$T$8)^'Input - Projection Parameters'!$F$20</f>
        <v>134.69534393901682</v>
      </c>
      <c r="AC32" s="117">
        <f>+AC31*(1+'Input - Projection Parameters'!$T$12)^'Input - Projection Parameters'!$F$19*(1+'Input - Projection Parameters'!$T$8)^'Input - Projection Parameters'!$F$20</f>
        <v>86.2050201209708</v>
      </c>
      <c r="AD32" s="117">
        <f>+AD31*(1+'Input - Projection Parameters'!$T$12)^'Input - Projection Parameters'!$F$19*(1+'Input - Projection Parameters'!$T$8)^'Input - Projection Parameters'!$F$20</f>
        <v>53.878137575606715</v>
      </c>
      <c r="AE32" s="117">
        <f>+AE31*(1+'Input - Projection Parameters'!$T$8)^'Input - Projection Parameters'!$F$20</f>
        <v>0</v>
      </c>
      <c r="AF32" s="117">
        <f>+AF31*(1+'Input - Projection Parameters'!$T$8)^'Input - Projection Parameters'!$F$20</f>
        <v>231.82520815657406</v>
      </c>
      <c r="AG32" s="117">
        <f>+AG31*(1+'Input - Projection Parameters'!$T$8)^'Input - Projection Parameters'!$F$20</f>
        <v>289.7815101957176</v>
      </c>
      <c r="AH32" s="117">
        <f>+AH31*(1+'Input - Projection Parameters'!$T$8)^'Input - Projection Parameters'!$F$20</f>
        <v>202.8470571370024</v>
      </c>
      <c r="AI32" s="117">
        <f>+AI31*(1+'Input - Projection Parameters'!$T$8)^'Input - Projection Parameters'!$F$20</f>
        <v>226.0295779526598</v>
      </c>
      <c r="AJ32" s="117">
        <f>+AJ31*(1+'Input - Projection Parameters'!$T$8)^'Input - Projection Parameters'!$F$20</f>
        <v>81.13882285480092</v>
      </c>
      <c r="AK32" s="117">
        <f>+AK31*(1+'Input - Projection Parameters'!$T$8)^'Input - Projection Parameters'!$F$20</f>
        <v>69.54756244697222</v>
      </c>
      <c r="AM32" s="107">
        <f>IF('Input - Projection Parameters'!A42=1,+Calculations!F32*Calculations!X32*365/1000/1000000,0)</f>
        <v>0</v>
      </c>
      <c r="AN32" s="120">
        <f>IF('Input - Projection Parameters'!$A$30=2,+Calculations!G32*Calculations!Y32*365/1000/1000000,0)</f>
        <v>8.911750692383826</v>
      </c>
      <c r="AO32" s="120">
        <f>IF('Input - Projection Parameters'!$A$30=2,+Calculations!H32*Calculations!Z32*365/1000/1000000,0)</f>
        <v>1.5913840522113971</v>
      </c>
      <c r="AP32" s="120">
        <f>IF('Input - Projection Parameters'!$A$30=2,+Calculations!I32*Calculations!AA32*365/1000/1000000,0)</f>
        <v>0.8593473881941546</v>
      </c>
      <c r="AQ32" s="120">
        <f>IF('Input - Projection Parameters'!$A$30=2,+Calculations!J32*Calculations!AB32*365/1000/1000000,0)</f>
        <v>0.5304613507371324</v>
      </c>
      <c r="AR32" s="120">
        <f>IF('Input - Projection Parameters'!$A$30=2,+Calculations!K32*Calculations!AC32*365/1000/1000000,0)</f>
        <v>0.16974763223588238</v>
      </c>
      <c r="AS32" s="120">
        <f>IF('Input - Projection Parameters'!$A$30=2,+Calculations!L32*Calculations!AD32*365/1000/1000000,0)</f>
        <v>0.42436908058970574</v>
      </c>
      <c r="AT32" s="120">
        <f>IF('Input - Projection Parameters'!$A$30=1,+Calculations!M32*Calculations!AE32*365/1000/1000000,0)</f>
        <v>0</v>
      </c>
      <c r="AU32" s="120">
        <f>IF('Input - Projection Parameters'!$A$30=2,+Calculations!N32*Calculations!AF32*365/1000/1000000,0)</f>
        <v>15.97717052055837</v>
      </c>
      <c r="AV32" s="120">
        <f>IF('Input - Projection Parameters'!$A$30=2,+Calculations!O32*Calculations!AG32*365/1000/1000000,0)</f>
        <v>2.2824529315083386</v>
      </c>
      <c r="AW32" s="120">
        <f>IF('Input - Projection Parameters'!$A$30=2,+Calculations!P32*Calculations!AH32*365/1000/1000000,0)</f>
        <v>1.9971463150697975</v>
      </c>
      <c r="AX32" s="120">
        <f>IF('Input - Projection Parameters'!$A$30=2,+Calculations!Q32*Calculations!AI32*365/1000/1000000,0)</f>
        <v>1.7803132865765041</v>
      </c>
      <c r="AY32" s="120">
        <f>IF('Input - Projection Parameters'!$A$30=2,+Calculations!R32*Calculations!AJ32*365/1000/1000000,0)</f>
        <v>0.15977170520558365</v>
      </c>
      <c r="AZ32" s="120">
        <f>IF('Input - Projection Parameters'!$A$30=2,+Calculations!S32*Calculations!AK32*365/1000/1000000,0)</f>
        <v>0.13694717589050032</v>
      </c>
      <c r="BA32" s="130">
        <f t="shared" si="0"/>
        <v>34.82086213116119</v>
      </c>
    </row>
    <row r="33" spans="2:53" ht="12.75">
      <c r="B33" s="4">
        <f t="shared" si="1"/>
        <v>2019</v>
      </c>
      <c r="C33" s="111">
        <f>+C32*(1+'Input - Projection Parameters'!U6)</f>
        <v>615862.920119836</v>
      </c>
      <c r="D33" s="116"/>
      <c r="E33" s="111">
        <f>+(E34-E29)/COUNT(B30:B34)+E32</f>
        <v>551037.2236793882</v>
      </c>
      <c r="F33" s="118">
        <f>+(F34-F29)/COUNT(B30:B34)+F32</f>
        <v>375629.59640999057</v>
      </c>
      <c r="G33" s="114">
        <f>+(G34-G29)/COUNT(B30:B34)+G32</f>
        <v>192863.0282877859</v>
      </c>
      <c r="H33" s="115">
        <f>+(H34-H29)/COUNT(B30:B34)+H32</f>
        <v>27551.86118396942</v>
      </c>
      <c r="I33" s="115">
        <f>+(I34-I29)/COUNT(B30:B34)+I32</f>
        <v>16531.116710381648</v>
      </c>
      <c r="J33" s="115">
        <f>+(J34-J29)/COUNT(B30:B34)+J32</f>
        <v>11020.744473587763</v>
      </c>
      <c r="K33" s="115">
        <f>+(K34-K29)/COUNT(B30:B34)+K32</f>
        <v>5510.372236793882</v>
      </c>
      <c r="L33" s="116">
        <f>+(L34-L29)/COUNT(B30:B34)+L32</f>
        <v>22041.488947175527</v>
      </c>
      <c r="M33" s="119">
        <f>+(M34-M29)/COUNT(B30:B34)+M32</f>
        <v>195622.27493832915</v>
      </c>
      <c r="N33" s="114">
        <f>+(N34-N29)/COUNT(B30:B34)+N32</f>
        <v>192863.0282877859</v>
      </c>
      <c r="O33" s="115">
        <f>+(O34-O29)/COUNT(B30:B34)+O32</f>
        <v>22041.488947175527</v>
      </c>
      <c r="P33" s="115">
        <f>+(P34-P29)/COUNT(B30:B34)+P32</f>
        <v>27551.86118396942</v>
      </c>
      <c r="Q33" s="115">
        <f>+(Q34-Q29)/COUNT(B30:B34)+Q32</f>
        <v>22041.488947175527</v>
      </c>
      <c r="R33" s="115">
        <f>+(R34-R29)/COUNT(B30:B34)+R32</f>
        <v>5510.372236793882</v>
      </c>
      <c r="S33" s="116">
        <f>+(S34-S29)/COUNT(B30:B34)+S32</f>
        <v>5510.372236793882</v>
      </c>
      <c r="U33" s="100"/>
      <c r="V33" s="107">
        <f t="shared" si="2"/>
        <v>2019</v>
      </c>
      <c r="X33" s="107">
        <f>+X32*(1+'Input - Projection Parameters'!$U$12)^'Input - Projection Parameters'!$F$19*(1+'Input - Projection Parameters'!$U$8)^'Input - Projection Parameters'!$F$20</f>
        <v>0</v>
      </c>
      <c r="Y33" s="117">
        <f>+Y32*(1+'Input - Projection Parameters'!$U$12)^'Input - Projection Parameters'!$F$19*(1+'Input - Projection Parameters'!$U$8)^'Input - Projection Parameters'!$F$20</f>
        <v>130.13802597985142</v>
      </c>
      <c r="Z33" s="117">
        <f>+Z32*(1+'Input - Projection Parameters'!$U$12)^'Input - Projection Parameters'!$F$19*(1+'Input - Projection Parameters'!$U$8)^'Input - Projection Parameters'!$F$20</f>
        <v>162.67253247481426</v>
      </c>
      <c r="AA33" s="117">
        <f>+AA32*(1+'Input - Projection Parameters'!$U$12)^'Input - Projection Parameters'!$F$19*(1+'Input - Projection Parameters'!$U$8)^'Input - Projection Parameters'!$F$20</f>
        <v>146.40527922733287</v>
      </c>
      <c r="AB33" s="117">
        <f>+AB32*(1+'Input - Projection Parameters'!$U$12)^'Input - Projection Parameters'!$F$19*(1+'Input - Projection Parameters'!$U$8)^'Input - Projection Parameters'!$F$20</f>
        <v>135.5604437290119</v>
      </c>
      <c r="AC33" s="117">
        <f>+AC32*(1+'Input - Projection Parameters'!$U$12)^'Input - Projection Parameters'!$F$19*(1+'Input - Projection Parameters'!$U$8)^'Input - Projection Parameters'!$F$20</f>
        <v>86.75868398656765</v>
      </c>
      <c r="AD33" s="117">
        <f>+AD32*(1+'Input - Projection Parameters'!$U$12)^'Input - Projection Parameters'!$F$19*(1+'Input - Projection Parameters'!$U$8)^'Input - Projection Parameters'!$F$20</f>
        <v>54.22417749160474</v>
      </c>
      <c r="AE33" s="117">
        <f>+AE32*(1+'Input - Projection Parameters'!$U$8)^'Input - Projection Parameters'!$F$20</f>
        <v>0</v>
      </c>
      <c r="AF33" s="117">
        <f>+AF32*(1+'Input - Projection Parameters'!$U$8)^'Input - Projection Parameters'!$F$20</f>
        <v>234.7776732851728</v>
      </c>
      <c r="AG33" s="117">
        <f>+AG32*(1+'Input - Projection Parameters'!$U$8)^'Input - Projection Parameters'!$F$20</f>
        <v>293.472091606466</v>
      </c>
      <c r="AH33" s="117">
        <f>+AH32*(1+'Input - Projection Parameters'!$U$8)^'Input - Projection Parameters'!$F$20</f>
        <v>205.43046412452628</v>
      </c>
      <c r="AI33" s="117">
        <f>+AI32*(1+'Input - Projection Parameters'!$U$8)^'Input - Projection Parameters'!$F$20</f>
        <v>228.90823145304356</v>
      </c>
      <c r="AJ33" s="117">
        <f>+AJ32*(1+'Input - Projection Parameters'!$U$8)^'Input - Projection Parameters'!$F$20</f>
        <v>82.17218564981047</v>
      </c>
      <c r="AK33" s="117">
        <f>+AK32*(1+'Input - Projection Parameters'!$U$8)^'Input - Projection Parameters'!$F$20</f>
        <v>70.43330198555184</v>
      </c>
      <c r="AM33" s="107">
        <f>IF('Input - Projection Parameters'!A43=1,+Calculations!F33*Calculations!X33*365/1000/1000000,0)</f>
        <v>0</v>
      </c>
      <c r="AN33" s="120">
        <f>IF('Input - Projection Parameters'!$A$30=2,+Calculations!G33*Calculations!Y33*365/1000/1000000,0)</f>
        <v>9.161067031842077</v>
      </c>
      <c r="AO33" s="120">
        <f>IF('Input - Projection Parameters'!$A$30=2,+Calculations!H33*Calculations!Z33*365/1000/1000000,0)</f>
        <v>1.6359048271146568</v>
      </c>
      <c r="AP33" s="120">
        <f>IF('Input - Projection Parameters'!$A$30=2,+Calculations!I33*Calculations!AA33*365/1000/1000000,0)</f>
        <v>0.8833886066419145</v>
      </c>
      <c r="AQ33" s="120">
        <f>IF('Input - Projection Parameters'!$A$30=2,+Calculations!J33*Calculations!AB33*365/1000/1000000,0)</f>
        <v>0.5453016090382187</v>
      </c>
      <c r="AR33" s="120">
        <f>IF('Input - Projection Parameters'!$A$30=2,+Calculations!K33*Calculations!AC33*365/1000/1000000,0)</f>
        <v>0.17449651489223006</v>
      </c>
      <c r="AS33" s="120">
        <f>IF('Input - Projection Parameters'!$A$30=2,+Calculations!L33*Calculations!AD33*365/1000/1000000,0)</f>
        <v>0.43624128723057476</v>
      </c>
      <c r="AT33" s="120">
        <f>IF('Input - Projection Parameters'!$A$30=1,+Calculations!M33*Calculations!AE33*365/1000/1000000,0)</f>
        <v>0</v>
      </c>
      <c r="AU33" s="120">
        <f>IF('Input - Projection Parameters'!$A$30=2,+Calculations!N33*Calculations!AF33*365/1000/1000000,0)</f>
        <v>16.527175561110678</v>
      </c>
      <c r="AV33" s="120">
        <f>IF('Input - Projection Parameters'!$A$30=2,+Calculations!O33*Calculations!AG33*365/1000/1000000,0)</f>
        <v>2.361025080158668</v>
      </c>
      <c r="AW33" s="120">
        <f>IF('Input - Projection Parameters'!$A$30=2,+Calculations!P33*Calculations!AH33*365/1000/1000000,0)</f>
        <v>2.0658969451388356</v>
      </c>
      <c r="AX33" s="120">
        <f>IF('Input - Projection Parameters'!$A$30=2,+Calculations!Q33*Calculations!AI33*365/1000/1000000,0)</f>
        <v>1.8415995625237613</v>
      </c>
      <c r="AY33" s="120">
        <f>IF('Input - Projection Parameters'!$A$30=2,+Calculations!R33*Calculations!AJ33*365/1000/1000000,0)</f>
        <v>0.1652717556111067</v>
      </c>
      <c r="AZ33" s="120">
        <f>IF('Input - Projection Parameters'!$A$30=2,+Calculations!S33*Calculations!AK33*365/1000/1000000,0)</f>
        <v>0.14166150480952003</v>
      </c>
      <c r="BA33" s="130">
        <f t="shared" si="0"/>
        <v>35.93903028611225</v>
      </c>
    </row>
    <row r="34" spans="2:53" ht="12.75">
      <c r="B34" s="4">
        <f t="shared" si="1"/>
        <v>2020</v>
      </c>
      <c r="C34" s="111">
        <f>+C33*(1+'Input - Projection Parameters'!V6)</f>
        <v>625100.8639216335</v>
      </c>
      <c r="D34" s="116"/>
      <c r="E34" s="111">
        <f>+C34*'Input - Projection Parameters'!F67</f>
        <v>562590.7775294702</v>
      </c>
      <c r="F34" s="118">
        <f>+E34*'Input - Projection Parameters'!H82</f>
        <v>393813.54427062906</v>
      </c>
      <c r="G34" s="114">
        <f>+E34*'Input - Projection Parameters'!H85</f>
        <v>196906.77213531453</v>
      </c>
      <c r="H34" s="115">
        <f>+E34*'Input - Projection Parameters'!H86</f>
        <v>28129.53887647351</v>
      </c>
      <c r="I34" s="115">
        <f>+E34*'Input - Projection Parameters'!H87</f>
        <v>16877.723325884104</v>
      </c>
      <c r="J34" s="115">
        <f>+E34*'Input - Projection Parameters'!H88</f>
        <v>11251.815550589403</v>
      </c>
      <c r="K34" s="115">
        <f>+E34*'Input - Projection Parameters'!H89</f>
        <v>5625.907775294701</v>
      </c>
      <c r="L34" s="116">
        <f>+E34*'Input - Projection Parameters'!H90</f>
        <v>22503.631101178806</v>
      </c>
      <c r="M34" s="119">
        <f>+C34*'Input - Projection Parameters'!H92</f>
        <v>187530.25917649004</v>
      </c>
      <c r="N34" s="114">
        <f>+E34*'Input - Projection Parameters'!H94</f>
        <v>196906.77213531453</v>
      </c>
      <c r="O34" s="115">
        <f>+E34*'Input - Projection Parameters'!H95</f>
        <v>22503.631101178806</v>
      </c>
      <c r="P34" s="115">
        <f>+E34*'Input - Projection Parameters'!H96</f>
        <v>28129.53887647351</v>
      </c>
      <c r="Q34" s="115">
        <f>+E34*'Input - Projection Parameters'!H97</f>
        <v>22503.631101178806</v>
      </c>
      <c r="R34" s="115">
        <f>+E34*'Input - Projection Parameters'!H98</f>
        <v>5625.907775294701</v>
      </c>
      <c r="S34" s="116">
        <f>+E34*'Input - Projection Parameters'!H99</f>
        <v>5625.907775294701</v>
      </c>
      <c r="U34" s="100"/>
      <c r="V34" s="107">
        <f t="shared" si="2"/>
        <v>2020</v>
      </c>
      <c r="X34" s="107">
        <f>+X33*(1+'Input - Projection Parameters'!$V$12)^'Input - Projection Parameters'!$F$19*(1+'Input - Projection Parameters'!$V$8)^'Input - Projection Parameters'!$F$20</f>
        <v>0</v>
      </c>
      <c r="Y34" s="117">
        <f>+Y33*(1+'Input - Projection Parameters'!$V$12)^'Input - Projection Parameters'!$F$19*(1+'Input - Projection Parameters'!$V$8)^'Input - Projection Parameters'!$F$20</f>
        <v>130.97385575431275</v>
      </c>
      <c r="Z34" s="117">
        <f>+Z33*(1+'Input - Projection Parameters'!$V$12)^'Input - Projection Parameters'!$F$19*(1+'Input - Projection Parameters'!$V$8)^'Input - Projection Parameters'!$F$20</f>
        <v>163.71731969289092</v>
      </c>
      <c r="AA34" s="117">
        <f>+AA33*(1+'Input - Projection Parameters'!$V$12)^'Input - Projection Parameters'!$F$19*(1+'Input - Projection Parameters'!$V$8)^'Input - Projection Parameters'!$F$20</f>
        <v>147.34558772360188</v>
      </c>
      <c r="AB34" s="117">
        <f>+AB33*(1+'Input - Projection Parameters'!$V$12)^'Input - Projection Parameters'!$F$19*(1+'Input - Projection Parameters'!$V$8)^'Input - Projection Parameters'!$F$20</f>
        <v>136.4310997440758</v>
      </c>
      <c r="AC34" s="117">
        <f>+AC33*(1+'Input - Projection Parameters'!$V$12)^'Input - Projection Parameters'!$F$19*(1+'Input - Projection Parameters'!$V$8)^'Input - Projection Parameters'!$F$20</f>
        <v>87.31590383620853</v>
      </c>
      <c r="AD34" s="117">
        <f>+AD33*(1+'Input - Projection Parameters'!$V$12)^'Input - Projection Parameters'!$F$19*(1+'Input - Projection Parameters'!$V$8)^'Input - Projection Parameters'!$F$20</f>
        <v>54.5724398976303</v>
      </c>
      <c r="AE34" s="117">
        <f>+AE33*(1+'Input - Projection Parameters'!$V$8)^'Input - Projection Parameters'!$F$20</f>
        <v>0</v>
      </c>
      <c r="AF34" s="117">
        <f>+AF33*(1+'Input - Projection Parameters'!$V$8)^'Input - Projection Parameters'!$F$20</f>
        <v>237.7677402363037</v>
      </c>
      <c r="AG34" s="117">
        <f>+AG33*(1+'Input - Projection Parameters'!$V$8)^'Input - Projection Parameters'!$F$20</f>
        <v>297.2096752953796</v>
      </c>
      <c r="AH34" s="117">
        <f>+AH33*(1+'Input - Projection Parameters'!$V$8)^'Input - Projection Parameters'!$F$20</f>
        <v>208.04677270676584</v>
      </c>
      <c r="AI34" s="117">
        <f>+AI33*(1+'Input - Projection Parameters'!$V$8)^'Input - Projection Parameters'!$F$20</f>
        <v>231.8235467303962</v>
      </c>
      <c r="AJ34" s="117">
        <f>+AJ33*(1+'Input - Projection Parameters'!$V$8)^'Input - Projection Parameters'!$F$20</f>
        <v>83.2187090827063</v>
      </c>
      <c r="AK34" s="117">
        <f>+AK33*(1+'Input - Projection Parameters'!$V$8)^'Input - Projection Parameters'!$F$20</f>
        <v>71.33032207089111</v>
      </c>
      <c r="AM34" s="107">
        <f>IF('Input - Projection Parameters'!A44=1,+Calculations!F34*Calculations!X34*365/1000/1000000,0)</f>
        <v>0</v>
      </c>
      <c r="AN34" s="120">
        <f>IF('Input - Projection Parameters'!$A$30=2,+Calculations!G34*Calculations!Y34*365/1000/1000000,0)</f>
        <v>9.413218297304775</v>
      </c>
      <c r="AO34" s="120">
        <f>IF('Input - Projection Parameters'!$A$30=2,+Calculations!H34*Calculations!Z34*365/1000/1000000,0)</f>
        <v>1.6809318388044243</v>
      </c>
      <c r="AP34" s="120">
        <f>IF('Input - Projection Parameters'!$A$30=2,+Calculations!I34*Calculations!AA34*365/1000/1000000,0)</f>
        <v>0.9077031929543894</v>
      </c>
      <c r="AQ34" s="120">
        <f>IF('Input - Projection Parameters'!$A$30=2,+Calculations!J34*Calculations!AB34*365/1000/1000000,0)</f>
        <v>0.5603106129348081</v>
      </c>
      <c r="AR34" s="120">
        <f>IF('Input - Projection Parameters'!$A$30=2,+Calculations!K34*Calculations!AC34*365/1000/1000000,0)</f>
        <v>0.17929939613913867</v>
      </c>
      <c r="AS34" s="120">
        <f>IF('Input - Projection Parameters'!$A$30=2,+Calculations!L34*Calculations!AD34*365/1000/1000000,0)</f>
        <v>0.4482484903478464</v>
      </c>
      <c r="AT34" s="120">
        <f>IF('Input - Projection Parameters'!$A$30=1,+Calculations!M34*Calculations!AE34*365/1000/1000000,0)</f>
        <v>0</v>
      </c>
      <c r="AU34" s="120">
        <f>IF('Input - Projection Parameters'!$A$30=2,+Calculations!N34*Calculations!AF34*365/1000/1000000,0)</f>
        <v>17.088598560461055</v>
      </c>
      <c r="AV34" s="120">
        <f>IF('Input - Projection Parameters'!$A$30=2,+Calculations!O34*Calculations!AG34*365/1000/1000000,0)</f>
        <v>2.441228365780151</v>
      </c>
      <c r="AW34" s="120">
        <f>IF('Input - Projection Parameters'!$A$30=2,+Calculations!P34*Calculations!AH34*365/1000/1000000,0)</f>
        <v>2.136074820057633</v>
      </c>
      <c r="AX34" s="120">
        <f>IF('Input - Projection Parameters'!$A$30=2,+Calculations!Q34*Calculations!AI34*365/1000/1000000,0)</f>
        <v>1.9041581253085187</v>
      </c>
      <c r="AY34" s="120">
        <f>IF('Input - Projection Parameters'!$A$30=2,+Calculations!R34*Calculations!AJ34*365/1000/1000000,0)</f>
        <v>0.17088598560461055</v>
      </c>
      <c r="AZ34" s="120">
        <f>IF('Input - Projection Parameters'!$A$30=2,+Calculations!S34*Calculations!AK34*365/1000/1000000,0)</f>
        <v>0.14647370194680903</v>
      </c>
      <c r="BA34" s="130">
        <f t="shared" si="0"/>
        <v>37.07713138764416</v>
      </c>
    </row>
    <row r="35" spans="2:53" ht="12.75">
      <c r="B35" s="4">
        <f t="shared" si="1"/>
        <v>2021</v>
      </c>
      <c r="C35" s="111">
        <f>+C34*(1+'Input - Projection Parameters'!W6)</f>
        <v>634477.3768804579</v>
      </c>
      <c r="D35" s="116"/>
      <c r="E35" s="111">
        <f>+(E39-E34)/COUNT(B35:B39)+E34</f>
        <v>573980.2757427186</v>
      </c>
      <c r="F35" s="118">
        <f>+(F39-F34)/COUNT(B35:B39)+F34</f>
        <v>414176.9583918172</v>
      </c>
      <c r="G35" s="114">
        <f>+(G39-G34)/COUNT(B35:B39)+G34</f>
        <v>200893.0965099515</v>
      </c>
      <c r="H35" s="115">
        <f>+(H39-H34)/COUNT(B35:B39)+H34</f>
        <v>28699.013787135933</v>
      </c>
      <c r="I35" s="115">
        <f>+(I39-I34)/COUNT(B35:B39)+I34</f>
        <v>17219.40827228156</v>
      </c>
      <c r="J35" s="115">
        <f>+(J39-J34)/COUNT(B35:B39)+J34</f>
        <v>11479.605514854371</v>
      </c>
      <c r="K35" s="115">
        <f>+(K39-K34)/COUNT(B35:B39)+K34</f>
        <v>5739.8027574271855</v>
      </c>
      <c r="L35" s="116">
        <f>+(L39-L34)/COUNT(B35:B39)+L34</f>
        <v>22959.211029708742</v>
      </c>
      <c r="M35" s="119">
        <f>+(M39-M33)/COUNT(B35:B39)+M34</f>
        <v>175342.25064950736</v>
      </c>
      <c r="N35" s="114">
        <f>+(N39-N34)/COUNT(B35:B39)+N34</f>
        <v>200893.0965099515</v>
      </c>
      <c r="O35" s="115">
        <f>+(O39-O34)/COUNT(B35:B39)+O34</f>
        <v>22959.211029708742</v>
      </c>
      <c r="P35" s="115">
        <f>+(P39-P34)/COUNT(B35:B39)+P34</f>
        <v>28699.013787135933</v>
      </c>
      <c r="Q35" s="115">
        <f>+(Q39-Q34)/COUNT(B35:B39)+Q34</f>
        <v>22959.211029708742</v>
      </c>
      <c r="R35" s="115">
        <f>+(R39-R34)/COUNT(B35:B39)+R34</f>
        <v>5739.8027574271855</v>
      </c>
      <c r="S35" s="116">
        <f>+(S39-S34)/COUNT(B35:B39)+S34</f>
        <v>5739.8027574271855</v>
      </c>
      <c r="U35" s="100"/>
      <c r="V35" s="107">
        <f t="shared" si="2"/>
        <v>2021</v>
      </c>
      <c r="X35" s="107">
        <f>+X34*(1+'Input - Projection Parameters'!$W$12)^'Input - Projection Parameters'!$F$19*(1+'Input - Projection Parameters'!$W$8)^'Input - Projection Parameters'!$F$20</f>
        <v>0</v>
      </c>
      <c r="Y35" s="117">
        <f>+Y34*(1+'Input - Projection Parameters'!$W$12)^'Input - Projection Parameters'!$F$19*(1+'Input - Projection Parameters'!$W$8)^'Input - Projection Parameters'!$F$20</f>
        <v>131.81505376305162</v>
      </c>
      <c r="Z35" s="117">
        <f>+Z34*(1+'Input - Projection Parameters'!$W$12)^'Input - Projection Parameters'!$F$19*(1+'Input - Projection Parameters'!$W$8)^'Input - Projection Parameters'!$F$20</f>
        <v>164.76881720381454</v>
      </c>
      <c r="AA35" s="117">
        <f>+AA34*(1+'Input - Projection Parameters'!$W$12)^'Input - Projection Parameters'!$F$19*(1+'Input - Projection Parameters'!$W$8)^'Input - Projection Parameters'!$F$20</f>
        <v>148.29193548343312</v>
      </c>
      <c r="AB35" s="117">
        <f>+AB34*(1+'Input - Projection Parameters'!$W$12)^'Input - Projection Parameters'!$F$19*(1+'Input - Projection Parameters'!$W$8)^'Input - Projection Parameters'!$F$20</f>
        <v>137.30734766984546</v>
      </c>
      <c r="AC35" s="117">
        <f>+AC34*(1+'Input - Projection Parameters'!$W$12)^'Input - Projection Parameters'!$F$19*(1+'Input - Projection Parameters'!$W$8)^'Input - Projection Parameters'!$F$20</f>
        <v>87.87670250870113</v>
      </c>
      <c r="AD35" s="117">
        <f>+AD34*(1+'Input - Projection Parameters'!$W$12)^'Input - Projection Parameters'!$F$19*(1+'Input - Projection Parameters'!$W$8)^'Input - Projection Parameters'!$F$20</f>
        <v>54.92293906793816</v>
      </c>
      <c r="AE35" s="117">
        <f>+AE34*(1+'Input - Projection Parameters'!$W$8)^'Input - Projection Parameters'!$F$20</f>
        <v>0</v>
      </c>
      <c r="AF35" s="117">
        <f>+AF34*(1+'Input - Projection Parameters'!$W$8)^'Input - Projection Parameters'!$F$20</f>
        <v>240.79588789692943</v>
      </c>
      <c r="AG35" s="117">
        <f>+AG34*(1+'Input - Projection Parameters'!$W$8)^'Input - Projection Parameters'!$F$20</f>
        <v>300.9948598711618</v>
      </c>
      <c r="AH35" s="117">
        <f>+AH34*(1+'Input - Projection Parameters'!$W$8)^'Input - Projection Parameters'!$F$20</f>
        <v>210.69640190981337</v>
      </c>
      <c r="AI35" s="117">
        <f>+AI34*(1+'Input - Projection Parameters'!$W$8)^'Input - Projection Parameters'!$F$20</f>
        <v>234.7759906995063</v>
      </c>
      <c r="AJ35" s="117">
        <f>+AJ34*(1+'Input - Projection Parameters'!$W$8)^'Input - Projection Parameters'!$F$20</f>
        <v>84.27856076392531</v>
      </c>
      <c r="AK35" s="117">
        <f>+AK34*(1+'Input - Projection Parameters'!$W$8)^'Input - Projection Parameters'!$F$20</f>
        <v>72.23876636907883</v>
      </c>
      <c r="AM35" s="107">
        <f>IF('Input - Projection Parameters'!A45=1,+Calculations!F35*Calculations!X35*365/1000/1000000,0)</f>
        <v>0</v>
      </c>
      <c r="AN35" s="120">
        <f>IF('Input - Projection Parameters'!$A$30=2,+Calculations!G35*Calculations!Y35*365/1000/1000000,0)</f>
        <v>9.665468025736088</v>
      </c>
      <c r="AO35" s="120">
        <f>IF('Input - Projection Parameters'!$A$30=2,+Calculations!H35*Calculations!Z35*365/1000/1000000,0)</f>
        <v>1.725976433167159</v>
      </c>
      <c r="AP35" s="120">
        <f>IF('Input - Projection Parameters'!$A$30=2,+Calculations!I35*Calculations!AA35*365/1000/1000000,0)</f>
        <v>0.932027273910266</v>
      </c>
      <c r="AQ35" s="120">
        <f>IF('Input - Projection Parameters'!$A$30=2,+Calculations!J35*Calculations!AB35*365/1000/1000000,0)</f>
        <v>0.5753254777223863</v>
      </c>
      <c r="AR35" s="120">
        <f>IF('Input - Projection Parameters'!$A$30=2,+Calculations!K35*Calculations!AC35*365/1000/1000000,0)</f>
        <v>0.18410415287116372</v>
      </c>
      <c r="AS35" s="120">
        <f>IF('Input - Projection Parameters'!$A$30=2,+Calculations!L35*Calculations!AD35*365/1000/1000000,0)</f>
        <v>0.4602603821779089</v>
      </c>
      <c r="AT35" s="120">
        <f>IF('Input - Projection Parameters'!$A$30=1,+Calculations!M35*Calculations!AE35*365/1000/1000000,0)</f>
        <v>0</v>
      </c>
      <c r="AU35" s="120">
        <f>IF('Input - Projection Parameters'!$A$30=2,+Calculations!N35*Calculations!AF35*365/1000/1000000,0)</f>
        <v>17.656594514464214</v>
      </c>
      <c r="AV35" s="120">
        <f>IF('Input - Projection Parameters'!$A$30=2,+Calculations!O35*Calculations!AG35*365/1000/1000000,0)</f>
        <v>2.5223706449234595</v>
      </c>
      <c r="AW35" s="120">
        <f>IF('Input - Projection Parameters'!$A$30=2,+Calculations!P35*Calculations!AH35*365/1000/1000000,0)</f>
        <v>2.2070743143080285</v>
      </c>
      <c r="AX35" s="120">
        <f>IF('Input - Projection Parameters'!$A$30=2,+Calculations!Q35*Calculations!AI35*365/1000/1000000,0)</f>
        <v>1.9674491030402992</v>
      </c>
      <c r="AY35" s="120">
        <f>IF('Input - Projection Parameters'!$A$30=2,+Calculations!R35*Calculations!AJ35*365/1000/1000000,0)</f>
        <v>0.17656594514464216</v>
      </c>
      <c r="AZ35" s="120">
        <f>IF('Input - Projection Parameters'!$A$30=2,+Calculations!S35*Calculations!AK35*365/1000/1000000,0)</f>
        <v>0.15134223869540758</v>
      </c>
      <c r="BA35" s="130">
        <f t="shared" si="0"/>
        <v>38.22455850616103</v>
      </c>
    </row>
    <row r="36" spans="2:53" ht="12.75">
      <c r="B36" s="4">
        <f t="shared" si="1"/>
        <v>2022</v>
      </c>
      <c r="C36" s="111">
        <f>+C35*(1+'Input - Projection Parameters'!X6)</f>
        <v>643994.5375336646</v>
      </c>
      <c r="D36" s="116"/>
      <c r="E36" s="111">
        <f>+(E39-E34)/COUNT(B35:B39)+E35</f>
        <v>585369.773955967</v>
      </c>
      <c r="F36" s="118">
        <f>+(F39-F34)/COUNT(B35:B39)+F35</f>
        <v>434540.3725130054</v>
      </c>
      <c r="G36" s="114">
        <f>+(G39-G34)/COUNT(B35:B39)+G35</f>
        <v>204879.42088458844</v>
      </c>
      <c r="H36" s="115">
        <f>+(H39-H34)/COUNT(B35:B39)+H35</f>
        <v>29268.488697798355</v>
      </c>
      <c r="I36" s="115">
        <f>+(I39-I34)/COUNT(B35:B39)+I35</f>
        <v>17561.093218679012</v>
      </c>
      <c r="J36" s="115">
        <f>+(J39-J34)/COUNT(B35:B39)+J35</f>
        <v>11707.39547911934</v>
      </c>
      <c r="K36" s="115">
        <f>+(K39-K34)/COUNT(B35:B39)+K35</f>
        <v>5853.69773955967</v>
      </c>
      <c r="L36" s="116">
        <f>+(L39-L34)/COUNT(B35:B39)+L35</f>
        <v>23414.79095823868</v>
      </c>
      <c r="M36" s="119">
        <f>+(M39-M33)/COUNT(B35:B39)+M35</f>
        <v>163154.24212252468</v>
      </c>
      <c r="N36" s="114">
        <f>+(N39-N34)/COUNT(B35:B39)+N35</f>
        <v>204879.42088458844</v>
      </c>
      <c r="O36" s="115">
        <f>+(O39-O34)/COUNT(B35:B39)+O35</f>
        <v>23414.79095823868</v>
      </c>
      <c r="P36" s="115">
        <f>+(P39-P34)/COUNT(B35:B39)+P35</f>
        <v>29268.488697798355</v>
      </c>
      <c r="Q36" s="115">
        <f>+(Q39-Q34)/COUNT(B35:B39)+Q35</f>
        <v>23414.79095823868</v>
      </c>
      <c r="R36" s="115">
        <f>+(R39-R34)/COUNT(B35:B39)+R35</f>
        <v>5853.69773955967</v>
      </c>
      <c r="S36" s="116">
        <f>+(S39-S34)/COUNT(B35:B39)+S35</f>
        <v>5853.69773955967</v>
      </c>
      <c r="U36" s="100"/>
      <c r="V36" s="107">
        <f t="shared" si="2"/>
        <v>2022</v>
      </c>
      <c r="X36" s="107">
        <f>+X35*(1+'Input - Projection Parameters'!$X$12)^'Input - Projection Parameters'!$F$19*(1+'Input - Projection Parameters'!$X$8)^'Input - Projection Parameters'!$F$20</f>
        <v>0</v>
      </c>
      <c r="Y36" s="117">
        <f>+Y35*(1+'Input - Projection Parameters'!$X$12)^'Input - Projection Parameters'!$F$19*(1+'Input - Projection Parameters'!$X$8)^'Input - Projection Parameters'!$F$20</f>
        <v>132.6616544843077</v>
      </c>
      <c r="Z36" s="117">
        <f>+Z35*(1+'Input - Projection Parameters'!$X$12)^'Input - Projection Parameters'!$F$19*(1+'Input - Projection Parameters'!$X$8)^'Input - Projection Parameters'!$F$20</f>
        <v>165.8270681053846</v>
      </c>
      <c r="AA36" s="117">
        <f>+AA35*(1+'Input - Projection Parameters'!$X$12)^'Input - Projection Parameters'!$F$19*(1+'Input - Projection Parameters'!$X$8)^'Input - Projection Parameters'!$F$20</f>
        <v>149.2443612948462</v>
      </c>
      <c r="AB36" s="117">
        <f>+AB35*(1+'Input - Projection Parameters'!$X$12)^'Input - Projection Parameters'!$F$19*(1+'Input - Projection Parameters'!$X$8)^'Input - Projection Parameters'!$F$20</f>
        <v>138.18922342115386</v>
      </c>
      <c r="AC36" s="117">
        <f>+AC35*(1+'Input - Projection Parameters'!$X$12)^'Input - Projection Parameters'!$F$19*(1+'Input - Projection Parameters'!$X$8)^'Input - Projection Parameters'!$F$20</f>
        <v>88.4411029895385</v>
      </c>
      <c r="AD36" s="117">
        <f>+AD35*(1+'Input - Projection Parameters'!$X$12)^'Input - Projection Parameters'!$F$19*(1+'Input - Projection Parameters'!$X$8)^'Input - Projection Parameters'!$F$20</f>
        <v>55.275689368461514</v>
      </c>
      <c r="AE36" s="117">
        <f>+AE35*(1+'Input - Projection Parameters'!$X$8)^'Input - Projection Parameters'!$F$20</f>
        <v>0</v>
      </c>
      <c r="AF36" s="117">
        <f>+AF35*(1+'Input - Projection Parameters'!$X$8)^'Input - Projection Parameters'!$F$20</f>
        <v>243.86260125299157</v>
      </c>
      <c r="AG36" s="117">
        <f>+AG35*(1+'Input - Projection Parameters'!$X$8)^'Input - Projection Parameters'!$F$20</f>
        <v>304.8282515662395</v>
      </c>
      <c r="AH36" s="117">
        <f>+AH35*(1+'Input - Projection Parameters'!$X$8)^'Input - Projection Parameters'!$F$20</f>
        <v>213.37977609636775</v>
      </c>
      <c r="AI36" s="117">
        <f>+AI35*(1+'Input - Projection Parameters'!$X$8)^'Input - Projection Parameters'!$F$20</f>
        <v>237.7660362216669</v>
      </c>
      <c r="AJ36" s="117">
        <f>+AJ35*(1+'Input - Projection Parameters'!$X$8)^'Input - Projection Parameters'!$F$20</f>
        <v>85.35191043854707</v>
      </c>
      <c r="AK36" s="117">
        <f>+AK35*(1+'Input - Projection Parameters'!$X$8)^'Input - Projection Parameters'!$F$20</f>
        <v>73.15878037589748</v>
      </c>
      <c r="AM36" s="107">
        <f>IF('Input - Projection Parameters'!A46=1,+Calculations!F36*Calculations!X36*365/1000/1000000,0)</f>
        <v>0</v>
      </c>
      <c r="AN36" s="120">
        <f>IF('Input - Projection Parameters'!$A$30=2,+Calculations!G36*Calculations!Y36*365/1000/1000000,0)</f>
        <v>9.920569674682758</v>
      </c>
      <c r="AO36" s="120">
        <f>IF('Input - Projection Parameters'!$A$30=2,+Calculations!H36*Calculations!Z36*365/1000/1000000,0)</f>
        <v>1.7715302990504929</v>
      </c>
      <c r="AP36" s="120">
        <f>IF('Input - Projection Parameters'!$A$30=2,+Calculations!I36*Calculations!AA36*365/1000/1000000,0)</f>
        <v>0.9566263614872664</v>
      </c>
      <c r="AQ36" s="120">
        <f>IF('Input - Projection Parameters'!$A$30=2,+Calculations!J36*Calculations!AB36*365/1000/1000000,0)</f>
        <v>0.5905100996834975</v>
      </c>
      <c r="AR36" s="120">
        <f>IF('Input - Projection Parameters'!$A$30=2,+Calculations!K36*Calculations!AC36*365/1000/1000000,0)</f>
        <v>0.18896323189871927</v>
      </c>
      <c r="AS36" s="120">
        <f>IF('Input - Projection Parameters'!$A$30=2,+Calculations!L36*Calculations!AD36*365/1000/1000000,0)</f>
        <v>0.47240807974679777</v>
      </c>
      <c r="AT36" s="120">
        <f>IF('Input - Projection Parameters'!$A$30=1,+Calculations!M36*Calculations!AE36*365/1000/1000000,0)</f>
        <v>0</v>
      </c>
      <c r="AU36" s="120">
        <f>IF('Input - Projection Parameters'!$A$30=2,+Calculations!N36*Calculations!AF36*365/1000/1000000,0)</f>
        <v>18.23628640984461</v>
      </c>
      <c r="AV36" s="120">
        <f>IF('Input - Projection Parameters'!$A$30=2,+Calculations!O36*Calculations!AG36*365/1000/1000000,0)</f>
        <v>2.6051837728349447</v>
      </c>
      <c r="AW36" s="120">
        <f>IF('Input - Projection Parameters'!$A$30=2,+Calculations!P36*Calculations!AH36*365/1000/1000000,0)</f>
        <v>2.2795358012305784</v>
      </c>
      <c r="AX36" s="120">
        <f>IF('Input - Projection Parameters'!$A$30=2,+Calculations!Q36*Calculations!AI36*365/1000/1000000,0)</f>
        <v>2.0320433428112574</v>
      </c>
      <c r="AY36" s="120">
        <f>IF('Input - Projection Parameters'!$A$30=2,+Calculations!R36*Calculations!AJ36*365/1000/1000000,0)</f>
        <v>0.18236286409844615</v>
      </c>
      <c r="AZ36" s="120">
        <f>IF('Input - Projection Parameters'!$A$30=2,+Calculations!S36*Calculations!AK36*365/1000/1000000,0)</f>
        <v>0.1563110263700967</v>
      </c>
      <c r="BA36" s="130">
        <f t="shared" si="0"/>
        <v>39.39233096373946</v>
      </c>
    </row>
    <row r="37" spans="2:53" ht="12.75">
      <c r="B37" s="4">
        <f t="shared" si="1"/>
        <v>2023</v>
      </c>
      <c r="C37" s="111">
        <f>+C36*(1+'Input - Projection Parameters'!Y6)</f>
        <v>653654.4555966695</v>
      </c>
      <c r="D37" s="116"/>
      <c r="E37" s="111">
        <f>+(E39-E34)/COUNT(B35:B39)+E36</f>
        <v>596759.2721692155</v>
      </c>
      <c r="F37" s="118">
        <f>+(F39-F34)/COUNT(C35:C39)+F36</f>
        <v>454903.78663419356</v>
      </c>
      <c r="G37" s="114">
        <f>+(G39-G34)/COUNT(B35:B39)+G36</f>
        <v>208865.7452592254</v>
      </c>
      <c r="H37" s="115">
        <f>+(H39-H34)/COUNT(B35:B39)+H36</f>
        <v>29837.963608460777</v>
      </c>
      <c r="I37" s="115">
        <f>+(I39-I34)/COUNT(B35:B39)+I36</f>
        <v>17902.778165076466</v>
      </c>
      <c r="J37" s="115">
        <f>+(J39-J34)/COUNT(B35:B39)+J36</f>
        <v>11935.185443384307</v>
      </c>
      <c r="K37" s="115">
        <f>+(K39-K34)/COUNT(B35:B39)+K36</f>
        <v>5967.592721692154</v>
      </c>
      <c r="L37" s="116">
        <f>+(L39-L34)/COUNT(B35:B39)+L36</f>
        <v>23870.370886768615</v>
      </c>
      <c r="M37" s="119">
        <f>+(M39-M34)/COUNT(B35:B39)+M36</f>
        <v>152584.63674790983</v>
      </c>
      <c r="N37" s="114">
        <f>+(N39-N34)/COUNT(B35:B39)+N36</f>
        <v>208865.7452592254</v>
      </c>
      <c r="O37" s="115">
        <f>+(O39-O34)/COUNT(B35:B39)+O36</f>
        <v>23870.370886768615</v>
      </c>
      <c r="P37" s="115">
        <f>+(P39-P34)/COUNT(B35:B39)+P36</f>
        <v>29837.963608460777</v>
      </c>
      <c r="Q37" s="115">
        <f>+(Q39-Q34)/COUNT(B35:B39)+Q36</f>
        <v>23870.370886768615</v>
      </c>
      <c r="R37" s="115">
        <f>+(R39-R34)/COUNT(B35:B39)+R36</f>
        <v>5967.592721692154</v>
      </c>
      <c r="S37" s="116">
        <f>+(S39-S34)/COUNT(B35:B39)+S36</f>
        <v>5967.592721692154</v>
      </c>
      <c r="U37" s="100"/>
      <c r="V37" s="107">
        <f t="shared" si="2"/>
        <v>2023</v>
      </c>
      <c r="X37" s="107">
        <f>+X36*(1+'Input - Projection Parameters'!$Y$12)^'Input - Projection Parameters'!$F$19*(1+'Input - Projection Parameters'!$Y$8)^'Input - Projection Parameters'!$F$20</f>
        <v>0</v>
      </c>
      <c r="Y37" s="117">
        <f>+Y36*(1+'Input - Projection Parameters'!$Y$12)^'Input - Projection Parameters'!$F$19*(1+'Input - Projection Parameters'!$Y$8)^'Input - Projection Parameters'!$F$20</f>
        <v>133.5136926177619</v>
      </c>
      <c r="Z37" s="117">
        <f>+Z36*(1+'Input - Projection Parameters'!$Y$12)^'Input - Projection Parameters'!$F$19*(1+'Input - Projection Parameters'!$Y$8)^'Input - Projection Parameters'!$F$20</f>
        <v>166.89211577220235</v>
      </c>
      <c r="AA37" s="117">
        <f>+AA36*(1+'Input - Projection Parameters'!$Y$12)^'Input - Projection Parameters'!$F$19*(1+'Input - Projection Parameters'!$Y$8)^'Input - Projection Parameters'!$F$20</f>
        <v>150.20290419498215</v>
      </c>
      <c r="AB37" s="117">
        <f>+AB36*(1+'Input - Projection Parameters'!$Y$12)^'Input - Projection Parameters'!$F$19*(1+'Input - Projection Parameters'!$Y$8)^'Input - Projection Parameters'!$F$20</f>
        <v>139.07676314350198</v>
      </c>
      <c r="AC37" s="117">
        <f>+AC36*(1+'Input - Projection Parameters'!$Y$12)^'Input - Projection Parameters'!$F$19*(1+'Input - Projection Parameters'!$Y$8)^'Input - Projection Parameters'!$F$20</f>
        <v>89.0091284118413</v>
      </c>
      <c r="AD37" s="117">
        <f>+AD36*(1+'Input - Projection Parameters'!$Y$12)^'Input - Projection Parameters'!$F$19*(1+'Input - Projection Parameters'!$Y$8)^'Input - Projection Parameters'!$F$20</f>
        <v>55.63070525740077</v>
      </c>
      <c r="AE37" s="117">
        <f>+AE36*(1+'Input - Projection Parameters'!$Y$8)^'Input - Projection Parameters'!$F$20</f>
        <v>0</v>
      </c>
      <c r="AF37" s="117">
        <f>+AF36*(1+'Input - Projection Parameters'!$Y$8)^'Input - Projection Parameters'!$F$20</f>
        <v>246.96837146708557</v>
      </c>
      <c r="AG37" s="117">
        <f>+AG36*(1+'Input - Projection Parameters'!$Y$8)^'Input - Projection Parameters'!$F$20</f>
        <v>308.710464333857</v>
      </c>
      <c r="AH37" s="117">
        <f>+AH36*(1+'Input - Projection Parameters'!$Y$8)^'Input - Projection Parameters'!$F$20</f>
        <v>216.0973250337</v>
      </c>
      <c r="AI37" s="117">
        <f>+AI36*(1+'Input - Projection Parameters'!$Y$8)^'Input - Projection Parameters'!$F$20</f>
        <v>240.79416218040856</v>
      </c>
      <c r="AJ37" s="117">
        <f>+AJ36*(1+'Input - Projection Parameters'!$Y$8)^'Input - Projection Parameters'!$F$20</f>
        <v>86.43893001347998</v>
      </c>
      <c r="AK37" s="117">
        <f>+AK36*(1+'Input - Projection Parameters'!$Y$8)^'Input - Projection Parameters'!$F$20</f>
        <v>74.09051144012568</v>
      </c>
      <c r="AM37" s="107">
        <f>IF('Input - Projection Parameters'!A47=1,+Calculations!F37*Calculations!X37*365/1000/1000000,0)</f>
        <v>0</v>
      </c>
      <c r="AN37" s="120">
        <f>IF('Input - Projection Parameters'!$A$30=2,+Calculations!G37*Calculations!Y37*365/1000/1000000,0)</f>
        <v>10.178549472485791</v>
      </c>
      <c r="AO37" s="120">
        <f>IF('Input - Projection Parameters'!$A$30=2,+Calculations!H37*Calculations!Z37*365/1000/1000000,0)</f>
        <v>1.8175981200867488</v>
      </c>
      <c r="AP37" s="120">
        <f>IF('Input - Projection Parameters'!$A$30=2,+Calculations!I37*Calculations!AA37*365/1000/1000000,0)</f>
        <v>0.9815029848468446</v>
      </c>
      <c r="AQ37" s="120">
        <f>IF('Input - Projection Parameters'!$A$30=2,+Calculations!J37*Calculations!AB37*365/1000/1000000,0)</f>
        <v>0.6058660400289161</v>
      </c>
      <c r="AR37" s="120">
        <f>IF('Input - Projection Parameters'!$A$30=2,+Calculations!K37*Calculations!AC37*365/1000/1000000,0)</f>
        <v>0.19387713280925323</v>
      </c>
      <c r="AS37" s="120">
        <f>IF('Input - Projection Parameters'!$A$30=2,+Calculations!L37*Calculations!AD37*365/1000/1000000,0)</f>
        <v>0.4846928320231328</v>
      </c>
      <c r="AT37" s="120">
        <f>IF('Input - Projection Parameters'!$A$30=1,+Calculations!M37*Calculations!AE37*365/1000/1000000,0)</f>
        <v>0</v>
      </c>
      <c r="AU37" s="120">
        <f>IF('Input - Projection Parameters'!$A$30=2,+Calculations!N37*Calculations!AF37*365/1000/1000000,0)</f>
        <v>18.827880031104463</v>
      </c>
      <c r="AV37" s="120">
        <f>IF('Input - Projection Parameters'!$A$30=2,+Calculations!O37*Calculations!AG37*365/1000/1000000,0)</f>
        <v>2.6896971473006377</v>
      </c>
      <c r="AW37" s="120">
        <f>IF('Input - Projection Parameters'!$A$30=2,+Calculations!P37*Calculations!AH37*365/1000/1000000,0)</f>
        <v>2.3534850038880597</v>
      </c>
      <c r="AX37" s="120">
        <f>IF('Input - Projection Parameters'!$A$30=2,+Calculations!Q37*Calculations!AI37*365/1000/1000000,0)</f>
        <v>2.097963774894499</v>
      </c>
      <c r="AY37" s="120">
        <f>IF('Input - Projection Parameters'!$A$30=2,+Calculations!R37*Calculations!AJ37*365/1000/1000000,0)</f>
        <v>0.18827880031104471</v>
      </c>
      <c r="AZ37" s="120">
        <f>IF('Input - Projection Parameters'!$A$30=2,+Calculations!S37*Calculations!AK37*365/1000/1000000,0)</f>
        <v>0.16138182883803828</v>
      </c>
      <c r="BA37" s="130">
        <f t="shared" si="0"/>
        <v>40.58077316861743</v>
      </c>
    </row>
    <row r="38" spans="2:53" ht="12.75">
      <c r="B38" s="4">
        <f t="shared" si="1"/>
        <v>2024</v>
      </c>
      <c r="C38" s="111">
        <f>+C37*(1+'Input - Projection Parameters'!Z6)</f>
        <v>663459.2724306195</v>
      </c>
      <c r="D38" s="116"/>
      <c r="E38" s="111">
        <f>+(E39-E34)/COUNT(B35:B39)+E37</f>
        <v>608148.7703824639</v>
      </c>
      <c r="F38" s="118">
        <f>+(F39-F34)/COUNT(B35:B39)+F37</f>
        <v>475267.2007553817</v>
      </c>
      <c r="G38" s="114">
        <f>+(G39-G34)/COUNT(B35:B39)+G37</f>
        <v>212852.06963386235</v>
      </c>
      <c r="H38" s="115">
        <f>+(H39-H34)/COUNT(B35:B39)+H37</f>
        <v>30407.4385191232</v>
      </c>
      <c r="I38" s="115">
        <f>+(I39-I34)/COUNT(B35:B39)+I37</f>
        <v>18244.46311147392</v>
      </c>
      <c r="J38" s="115">
        <f>+(J39-J34)/COUNT(B35:B39)+J37</f>
        <v>12162.975407649275</v>
      </c>
      <c r="K38" s="115">
        <f>+(K39-K34)/COUNT(B35:B39)+K37</f>
        <v>6081.487703824638</v>
      </c>
      <c r="L38" s="116">
        <f>+(L39-L34)/COUNT(B35:B39)+L37</f>
        <v>24325.95081529855</v>
      </c>
      <c r="M38" s="119">
        <f>+(M39-M34)/COUNT(B35:B39)+M37</f>
        <v>142015.03137329497</v>
      </c>
      <c r="N38" s="114">
        <f>+(N39-N34)/COUNT(B35:B39)+N37</f>
        <v>212852.06963386235</v>
      </c>
      <c r="O38" s="115">
        <f>+(O39-O34)/COUNT(B35:B39)+O37</f>
        <v>24325.95081529855</v>
      </c>
      <c r="P38" s="115">
        <f>+(P39-P34)/COUNT(B35:B39)+P37</f>
        <v>30407.4385191232</v>
      </c>
      <c r="Q38" s="115">
        <f>+(Q39-Q34)/COUNT(B35:B39)+Q37</f>
        <v>24325.95081529855</v>
      </c>
      <c r="R38" s="115">
        <f>+(R39-R34)/COUNT(B35:B39)+R37</f>
        <v>6081.487703824638</v>
      </c>
      <c r="S38" s="116">
        <f>+(S39-S34)/COUNT(B35:B39)+S37</f>
        <v>6081.487703824638</v>
      </c>
      <c r="U38" s="100"/>
      <c r="V38" s="107">
        <f t="shared" si="2"/>
        <v>2024</v>
      </c>
      <c r="X38" s="107">
        <f>+X37*(1+'Input - Projection Parameters'!$Z$12)^'Input - Projection Parameters'!$F$19*(1+'Input - Projection Parameters'!$Z$8)^'Input - Projection Parameters'!$F$20</f>
        <v>0</v>
      </c>
      <c r="Y38" s="117">
        <f>+Y37*(1+'Input - Projection Parameters'!$Z$12)^'Input - Projection Parameters'!$F$19*(1+'Input - Projection Parameters'!$Z$8)^'Input - Projection Parameters'!$F$20</f>
        <v>134.37120308595883</v>
      </c>
      <c r="Z38" s="117">
        <f>+Z37*(1+'Input - Projection Parameters'!$Z$12)^'Input - Projection Parameters'!$F$19*(1+'Input - Projection Parameters'!$Z$8)^'Input - Projection Parameters'!$F$20</f>
        <v>167.9640038574485</v>
      </c>
      <c r="AA38" s="117">
        <f>+AA37*(1+'Input - Projection Parameters'!$Z$12)^'Input - Projection Parameters'!$F$19*(1+'Input - Projection Parameters'!$Z$8)^'Input - Projection Parameters'!$F$20</f>
        <v>151.16760347170367</v>
      </c>
      <c r="AB38" s="117">
        <f>+AB37*(1+'Input - Projection Parameters'!$Z$12)^'Input - Projection Parameters'!$F$19*(1+'Input - Projection Parameters'!$Z$8)^'Input - Projection Parameters'!$F$20</f>
        <v>139.97000321454044</v>
      </c>
      <c r="AC38" s="117">
        <f>+AC37*(1+'Input - Projection Parameters'!$Z$12)^'Input - Projection Parameters'!$F$19*(1+'Input - Projection Parameters'!$Z$8)^'Input - Projection Parameters'!$F$20</f>
        <v>89.58080205730592</v>
      </c>
      <c r="AD38" s="117">
        <f>+AD37*(1+'Input - Projection Parameters'!$Z$12)^'Input - Projection Parameters'!$F$19*(1+'Input - Projection Parameters'!$Z$8)^'Input - Projection Parameters'!$F$20</f>
        <v>55.98800128581615</v>
      </c>
      <c r="AE38" s="117">
        <f>+AE37*(1+'Input - Projection Parameters'!$Z$8)^'Input - Projection Parameters'!$F$20</f>
        <v>0</v>
      </c>
      <c r="AF38" s="117">
        <f>+AF37*(1+'Input - Projection Parameters'!$Z$8)^'Input - Projection Parameters'!$F$20</f>
        <v>250.11369595712512</v>
      </c>
      <c r="AG38" s="117">
        <f>+AG37*(1+'Input - Projection Parameters'!$Z$8)^'Input - Projection Parameters'!$F$20</f>
        <v>312.6421199464064</v>
      </c>
      <c r="AH38" s="117">
        <f>+AH37*(1+'Input - Projection Parameters'!$Z$8)^'Input - Projection Parameters'!$F$20</f>
        <v>218.84948396248458</v>
      </c>
      <c r="AI38" s="117">
        <f>+AI37*(1+'Input - Projection Parameters'!$Z$8)^'Input - Projection Parameters'!$F$20</f>
        <v>243.8608535581971</v>
      </c>
      <c r="AJ38" s="117">
        <f>+AJ37*(1+'Input - Projection Parameters'!$Z$8)^'Input - Projection Parameters'!$F$20</f>
        <v>87.53979358499382</v>
      </c>
      <c r="AK38" s="117">
        <f>+AK37*(1+'Input - Projection Parameters'!$Z$8)^'Input - Projection Parameters'!$F$20</f>
        <v>75.03410878713754</v>
      </c>
      <c r="AM38" s="107">
        <f>IF('Input - Projection Parameters'!A48=1,+Calculations!F38*Calculations!X38*365/1000/1000000,0)</f>
        <v>0</v>
      </c>
      <c r="AN38" s="120">
        <f>IF('Input - Projection Parameters'!$A$30=2,+Calculations!G38*Calculations!Y38*365/1000/1000000,0)</f>
        <v>10.439433866754005</v>
      </c>
      <c r="AO38" s="120">
        <f>IF('Input - Projection Parameters'!$A$30=2,+Calculations!H38*Calculations!Z38*365/1000/1000000,0)</f>
        <v>1.8641846190632152</v>
      </c>
      <c r="AP38" s="120">
        <f>IF('Input - Projection Parameters'!$A$30=2,+Calculations!I38*Calculations!AA38*365/1000/1000000,0)</f>
        <v>1.0066596942941362</v>
      </c>
      <c r="AQ38" s="120">
        <f>IF('Input - Projection Parameters'!$A$30=2,+Calculations!J38*Calculations!AB38*365/1000/1000000,0)</f>
        <v>0.6213948730210715</v>
      </c>
      <c r="AR38" s="120">
        <f>IF('Input - Projection Parameters'!$A$30=2,+Calculations!K38*Calculations!AC38*365/1000/1000000,0)</f>
        <v>0.198846359366743</v>
      </c>
      <c r="AS38" s="120">
        <f>IF('Input - Projection Parameters'!$A$30=2,+Calculations!L38*Calculations!AD38*365/1000/1000000,0)</f>
        <v>0.4971158984168571</v>
      </c>
      <c r="AT38" s="120">
        <f>IF('Input - Projection Parameters'!$A$30=1,+Calculations!M38*Calculations!AE38*365/1000/1000000,0)</f>
        <v>0</v>
      </c>
      <c r="AU38" s="120">
        <f>IF('Input - Projection Parameters'!$A$30=2,+Calculations!N38*Calculations!AF38*365/1000/1000000,0)</f>
        <v>19.431584507310763</v>
      </c>
      <c r="AV38" s="120">
        <f>IF('Input - Projection Parameters'!$A$30=2,+Calculations!O38*Calculations!AG38*365/1000/1000000,0)</f>
        <v>2.775940643901538</v>
      </c>
      <c r="AW38" s="120">
        <f>IF('Input - Projection Parameters'!$A$30=2,+Calculations!P38*Calculations!AH38*365/1000/1000000,0)</f>
        <v>2.428948063413847</v>
      </c>
      <c r="AX38" s="120">
        <f>IF('Input - Projection Parameters'!$A$30=2,+Calculations!Q38*Calculations!AI38*365/1000/1000000,0)</f>
        <v>2.1652337022432007</v>
      </c>
      <c r="AY38" s="120">
        <f>IF('Input - Projection Parameters'!$A$30=2,+Calculations!R38*Calculations!AJ38*365/1000/1000000,0)</f>
        <v>0.19431584507310765</v>
      </c>
      <c r="AZ38" s="120">
        <f>IF('Input - Projection Parameters'!$A$30=2,+Calculations!S38*Calculations!AK38*365/1000/1000000,0)</f>
        <v>0.16655643863409225</v>
      </c>
      <c r="BA38" s="130">
        <f t="shared" si="0"/>
        <v>41.790214511492564</v>
      </c>
    </row>
    <row r="39" spans="2:53" ht="12.75">
      <c r="B39" s="4">
        <f t="shared" si="1"/>
        <v>2025</v>
      </c>
      <c r="C39" s="111">
        <f>+C38*(1+'Input - Projection Parameters'!AA6)</f>
        <v>673411.1615170786</v>
      </c>
      <c r="D39" s="116"/>
      <c r="E39" s="111">
        <f>+C39*'Input - Projection Parameters'!F68</f>
        <v>619538.2685957124</v>
      </c>
      <c r="F39" s="118">
        <f>+E39*'Input - Projection Parameters'!I82</f>
        <v>495630.61487656995</v>
      </c>
      <c r="G39" s="114">
        <f>+E39*'Input - Projection Parameters'!I85</f>
        <v>216838.3940084993</v>
      </c>
      <c r="H39" s="115">
        <f>+E39*'Input - Projection Parameters'!I86</f>
        <v>30976.91342978562</v>
      </c>
      <c r="I39" s="115">
        <f>+E39*'Input - Projection Parameters'!I87</f>
        <v>18586.14805787137</v>
      </c>
      <c r="J39" s="115">
        <f>+E39*'Input - Projection Parameters'!I88</f>
        <v>12390.765371914247</v>
      </c>
      <c r="K39" s="115">
        <f>+E39*'Input - Projection Parameters'!I89</f>
        <v>6195.382685957124</v>
      </c>
      <c r="L39" s="116">
        <f>+E39*'Input - Projection Parameters'!I90</f>
        <v>24781.530743828494</v>
      </c>
      <c r="M39" s="119">
        <f>+C39*'Input - Projection Parameters'!I92</f>
        <v>134682.23230341575</v>
      </c>
      <c r="N39" s="114">
        <f>+E39*'Input - Projection Parameters'!I94</f>
        <v>216838.3940084993</v>
      </c>
      <c r="O39" s="115">
        <f>+E39*'Input - Projection Parameters'!I95</f>
        <v>24781.530743828494</v>
      </c>
      <c r="P39" s="115">
        <f>+E39*'Input - Projection Parameters'!I96</f>
        <v>30976.91342978562</v>
      </c>
      <c r="Q39" s="115">
        <f>+E39*'Input - Projection Parameters'!I97</f>
        <v>24781.530743828494</v>
      </c>
      <c r="R39" s="115">
        <f>+E39*'Input - Projection Parameters'!I98</f>
        <v>6195.382685957124</v>
      </c>
      <c r="S39" s="116">
        <f>+E39*'Input - Projection Parameters'!I99</f>
        <v>6195.382685957124</v>
      </c>
      <c r="U39" s="100"/>
      <c r="V39" s="107">
        <f t="shared" si="2"/>
        <v>2025</v>
      </c>
      <c r="X39" s="107">
        <f>+X38*(1+'Input - Projection Parameters'!$AA$12)^'Input - Projection Parameters'!$F$19*(1+'Input - Projection Parameters'!$AA$8)^'Input - Projection Parameters'!$F$20</f>
        <v>0</v>
      </c>
      <c r="Y39" s="117">
        <f>+Y38*(1+'Input - Projection Parameters'!$AA$12)^'Input - Projection Parameters'!$F$19*(1+'Input - Projection Parameters'!$AA$8)^'Input - Projection Parameters'!$F$20</f>
        <v>135.23422103573796</v>
      </c>
      <c r="Z39" s="117">
        <f>+Z38*(1+'Input - Projection Parameters'!$AA$12)^'Input - Projection Parameters'!$F$19*(1+'Input - Projection Parameters'!$AA$8)^'Input - Projection Parameters'!$F$20</f>
        <v>169.04277629467242</v>
      </c>
      <c r="AA39" s="117">
        <f>+AA38*(1+'Input - Projection Parameters'!$AA$12)^'Input - Projection Parameters'!$F$19*(1+'Input - Projection Parameters'!$AA$8)^'Input - Projection Parameters'!$F$20</f>
        <v>152.13849866520522</v>
      </c>
      <c r="AB39" s="117">
        <f>+AB38*(1+'Input - Projection Parameters'!$AA$12)^'Input - Projection Parameters'!$F$19*(1+'Input - Projection Parameters'!$AA$8)^'Input - Projection Parameters'!$F$20</f>
        <v>140.86898024556038</v>
      </c>
      <c r="AC39" s="117">
        <f>+AC38*(1+'Input - Projection Parameters'!$AA$12)^'Input - Projection Parameters'!$F$19*(1+'Input - Projection Parameters'!$AA$8)^'Input - Projection Parameters'!$F$20</f>
        <v>90.15614735715869</v>
      </c>
      <c r="AD39" s="117">
        <f>+AD38*(1+'Input - Projection Parameters'!$AA$12)^'Input - Projection Parameters'!$F$19*(1+'Input - Projection Parameters'!$AA$8)^'Input - Projection Parameters'!$F$20</f>
        <v>56.347592098224126</v>
      </c>
      <c r="AE39" s="117">
        <f>+AE38*(1+'Input - Projection Parameters'!$AA$8)^'Input - Projection Parameters'!$F$20</f>
        <v>0</v>
      </c>
      <c r="AF39" s="117">
        <f>+AF38*(1+'Input - Projection Parameters'!$AA$8)^'Input - Projection Parameters'!$F$20</f>
        <v>253.29907847600808</v>
      </c>
      <c r="AG39" s="117">
        <f>+AG38*(1+'Input - Projection Parameters'!$AA$8)^'Input - Projection Parameters'!$F$20</f>
        <v>316.6238480950101</v>
      </c>
      <c r="AH39" s="117">
        <f>+AH38*(1+'Input - Projection Parameters'!$AA$8)^'Input - Projection Parameters'!$F$20</f>
        <v>221.63669366650717</v>
      </c>
      <c r="AI39" s="117">
        <f>+AI38*(1+'Input - Projection Parameters'!$AA$8)^'Input - Projection Parameters'!$F$20</f>
        <v>246.966601514108</v>
      </c>
      <c r="AJ39" s="117">
        <f>+AJ38*(1+'Input - Projection Parameters'!$AA$8)^'Input - Projection Parameters'!$F$20</f>
        <v>88.65467746660285</v>
      </c>
      <c r="AK39" s="117">
        <f>+AK38*(1+'Input - Projection Parameters'!$AA$8)^'Input - Projection Parameters'!$F$20</f>
        <v>75.98972354280242</v>
      </c>
      <c r="AM39" s="107">
        <f>IF('Input - Projection Parameters'!A49=1,+Calculations!F39*Calculations!X39*365/1000/1000000,0)</f>
        <v>0</v>
      </c>
      <c r="AN39" s="120">
        <f>IF('Input - Projection Parameters'!$A$30=2,+Calculations!G39*Calculations!Y39*365/1000/1000000,0)</f>
        <v>10.703249526098638</v>
      </c>
      <c r="AO39" s="120">
        <f>IF('Input - Projection Parameters'!$A$30=2,+Calculations!H39*Calculations!Z39*365/1000/1000000,0)</f>
        <v>1.9112945582318996</v>
      </c>
      <c r="AP39" s="120">
        <f>IF('Input - Projection Parameters'!$A$30=2,+Calculations!I39*Calculations!AA39*365/1000/1000000,0)</f>
        <v>1.0320990614452261</v>
      </c>
      <c r="AQ39" s="120">
        <f>IF('Input - Projection Parameters'!$A$30=2,+Calculations!J39*Calculations!AB39*365/1000/1000000,0)</f>
        <v>0.6370981860773001</v>
      </c>
      <c r="AR39" s="120">
        <f>IF('Input - Projection Parameters'!$A$30=2,+Calculations!K39*Calculations!AC39*365/1000/1000000,0)</f>
        <v>0.2038714195447361</v>
      </c>
      <c r="AS39" s="120">
        <f>IF('Input - Projection Parameters'!$A$30=2,+Calculations!L39*Calculations!AD39*365/1000/1000000,0)</f>
        <v>0.5096785488618397</v>
      </c>
      <c r="AT39" s="120">
        <f>IF('Input - Projection Parameters'!$A$30=1,+Calculations!M39*Calculations!AE39*365/1000/1000000,0)</f>
        <v>0</v>
      </c>
      <c r="AU39" s="120">
        <f>IF('Input - Projection Parameters'!$A$30=2,+Calculations!N39*Calculations!AF39*365/1000/1000000,0)</f>
        <v>20.047612363908204</v>
      </c>
      <c r="AV39" s="120">
        <f>IF('Input - Projection Parameters'!$A$30=2,+Calculations!O39*Calculations!AG39*365/1000/1000000,0)</f>
        <v>2.863944623415458</v>
      </c>
      <c r="AW39" s="120">
        <f>IF('Input - Projection Parameters'!$A$30=2,+Calculations!P39*Calculations!AH39*365/1000/1000000,0)</f>
        <v>2.5059515454885277</v>
      </c>
      <c r="AX39" s="120">
        <f>IF('Input - Projection Parameters'!$A$30=2,+Calculations!Q39*Calculations!AI39*365/1000/1000000,0)</f>
        <v>2.2338768062640586</v>
      </c>
      <c r="AY39" s="120">
        <f>IF('Input - Projection Parameters'!$A$30=2,+Calculations!R39*Calculations!AJ39*365/1000/1000000,0)</f>
        <v>0.20047612363908213</v>
      </c>
      <c r="AZ39" s="120">
        <f>IF('Input - Projection Parameters'!$A$30=2,+Calculations!S39*Calculations!AK39*365/1000/1000000,0)</f>
        <v>0.1718366774049275</v>
      </c>
      <c r="BA39" s="130">
        <f t="shared" si="0"/>
        <v>43.0209894403799</v>
      </c>
    </row>
    <row r="40" spans="2:53" ht="12.75">
      <c r="B40" s="4">
        <f t="shared" si="1"/>
        <v>2026</v>
      </c>
      <c r="C40" s="111">
        <f>+C39*(1+'Input - Projection Parameters'!AB6)</f>
        <v>683512.3289398347</v>
      </c>
      <c r="D40" s="116"/>
      <c r="E40" s="111">
        <f>+(E44-E39)/COUNT(B40:B44)+E39</f>
        <v>633467.0786210835</v>
      </c>
      <c r="F40" s="118">
        <f>+(F44-F39)/COUNT(B40:B44)+F39</f>
        <v>513665.4860840925</v>
      </c>
      <c r="G40" s="114">
        <f>+(G44-G39)/COUNT(B40:B44)+G39</f>
        <v>221713.47751737921</v>
      </c>
      <c r="H40" s="115">
        <f>+(H44-H39)/COUNT(B40:B44)+H39</f>
        <v>31673.353931054182</v>
      </c>
      <c r="I40" s="115">
        <f>+(I44-I39)/COUNT(B40:B44)+I39</f>
        <v>19004.012358632506</v>
      </c>
      <c r="J40" s="115">
        <f>+(J44-J39)/COUNT(B40:B44)+J39</f>
        <v>12669.34157242167</v>
      </c>
      <c r="K40" s="115">
        <f>+(K44-K39)/COUNT(B40:B44)+K39</f>
        <v>6334.670786210835</v>
      </c>
      <c r="L40" s="116">
        <f>+(L44-L39)/COUNT(B40:B44)+L39</f>
        <v>25338.68314484334</v>
      </c>
      <c r="M40" s="119">
        <f>+(M44-M38)/COUNT(B40:B44)+M39</f>
        <v>128042.87819894312</v>
      </c>
      <c r="N40" s="114">
        <f>+(N44-N39)/COUNT(B40:B44)+N39</f>
        <v>221713.47751737921</v>
      </c>
      <c r="O40" s="115">
        <f>+(O44-O39)/COUNT(B40:B44)+O39</f>
        <v>25338.68314484334</v>
      </c>
      <c r="P40" s="115">
        <f>+(P44-P39)/COUNT(B40:B44)+P39</f>
        <v>31673.353931054182</v>
      </c>
      <c r="Q40" s="115">
        <f>+(Q44-Q39)/COUNT(B40:B44)+Q39</f>
        <v>25338.68314484334</v>
      </c>
      <c r="R40" s="115">
        <f>+(R44-R39)/COUNT(B40:B44)+R39</f>
        <v>6334.670786210835</v>
      </c>
      <c r="S40" s="116">
        <f>+(S44-S39)/COUNT(B40:B44)+S39</f>
        <v>6334.670786210835</v>
      </c>
      <c r="U40" s="100"/>
      <c r="V40" s="107">
        <f t="shared" si="2"/>
        <v>2026</v>
      </c>
      <c r="X40" s="107">
        <f>+X39*(1+'Input - Projection Parameters'!$AB$12)^'Input - Projection Parameters'!$F$19*(1+'Input - Projection Parameters'!$AB$8)^'Input - Projection Parameters'!$F$20</f>
        <v>0</v>
      </c>
      <c r="Y40" s="117">
        <f>+Y39*(1+'Input - Projection Parameters'!$AB$12)^'Input - Projection Parameters'!$F$19*(1+'Input - Projection Parameters'!$AB$8)^'Input - Projection Parameters'!$F$20</f>
        <v>136.10278183967438</v>
      </c>
      <c r="Z40" s="117">
        <f>+Z39*(1+'Input - Projection Parameters'!$AB$12)^'Input - Projection Parameters'!$F$19*(1+'Input - Projection Parameters'!$AB$8)^'Input - Projection Parameters'!$F$20</f>
        <v>170.12847729959293</v>
      </c>
      <c r="AA40" s="117">
        <f>+AA39*(1+'Input - Projection Parameters'!$AB$12)^'Input - Projection Parameters'!$F$19*(1+'Input - Projection Parameters'!$AB$8)^'Input - Projection Parameters'!$F$20</f>
        <v>153.11562956963368</v>
      </c>
      <c r="AB40" s="117">
        <f>+AB39*(1+'Input - Projection Parameters'!$AB$12)^'Input - Projection Parameters'!$F$19*(1+'Input - Projection Parameters'!$AB$8)^'Input - Projection Parameters'!$F$20</f>
        <v>141.77373108299412</v>
      </c>
      <c r="AC40" s="117">
        <f>+AC39*(1+'Input - Projection Parameters'!$AB$12)^'Input - Projection Parameters'!$F$19*(1+'Input - Projection Parameters'!$AB$8)^'Input - Projection Parameters'!$F$20</f>
        <v>90.7351878931163</v>
      </c>
      <c r="AD40" s="117">
        <f>+AD39*(1+'Input - Projection Parameters'!$AB$12)^'Input - Projection Parameters'!$F$19*(1+'Input - Projection Parameters'!$AB$8)^'Input - Projection Parameters'!$F$20</f>
        <v>56.709492433197624</v>
      </c>
      <c r="AE40" s="117">
        <f>+AE39*(1+'Input - Projection Parameters'!$AB$8)^'Input - Projection Parameters'!$F$20</f>
        <v>0</v>
      </c>
      <c r="AF40" s="117">
        <f>+AF39*(1+'Input - Projection Parameters'!$AB$8)^'Input - Projection Parameters'!$F$20</f>
        <v>256.5250291922973</v>
      </c>
      <c r="AG40" s="117">
        <f>+AG39*(1+'Input - Projection Parameters'!$AB$8)^'Input - Projection Parameters'!$F$20</f>
        <v>320.65628649037166</v>
      </c>
      <c r="AH40" s="117">
        <f>+AH39*(1+'Input - Projection Parameters'!$AB$8)^'Input - Projection Parameters'!$F$20</f>
        <v>224.45940054326027</v>
      </c>
      <c r="AI40" s="117">
        <f>+AI39*(1+'Input - Projection Parameters'!$AB$8)^'Input - Projection Parameters'!$F$20</f>
        <v>250.11190346249</v>
      </c>
      <c r="AJ40" s="117">
        <f>+AJ39*(1+'Input - Projection Parameters'!$AB$8)^'Input - Projection Parameters'!$F$20</f>
        <v>89.78376021730409</v>
      </c>
      <c r="AK40" s="117">
        <f>+AK39*(1+'Input - Projection Parameters'!$AB$8)^'Input - Projection Parameters'!$F$20</f>
        <v>76.9575087576892</v>
      </c>
      <c r="AM40" s="107">
        <f>IF('Input - Projection Parameters'!A50=1,+Calculations!F40*Calculations!X40*365/1000/1000000,0)</f>
        <v>0</v>
      </c>
      <c r="AN40" s="120">
        <f>IF('Input - Projection Parameters'!$A$30=2,+Calculations!G40*Calculations!Y40*365/1000/1000000,0)</f>
        <v>11.014174687434144</v>
      </c>
      <c r="AO40" s="120">
        <f>IF('Input - Projection Parameters'!$A$30=2,+Calculations!H40*Calculations!Z40*365/1000/1000000,0)</f>
        <v>1.9668169084703835</v>
      </c>
      <c r="AP40" s="120">
        <f>IF('Input - Projection Parameters'!$A$30=2,+Calculations!I40*Calculations!AA40*365/1000/1000000,0)</f>
        <v>1.062081130574007</v>
      </c>
      <c r="AQ40" s="120">
        <f>IF('Input - Projection Parameters'!$A$30=2,+Calculations!J40*Calculations!AB40*365/1000/1000000,0)</f>
        <v>0.6556056361567942</v>
      </c>
      <c r="AR40" s="120">
        <f>IF('Input - Projection Parameters'!$A$30=2,+Calculations!K40*Calculations!AC40*365/1000/1000000,0)</f>
        <v>0.20979380357017438</v>
      </c>
      <c r="AS40" s="120">
        <f>IF('Input - Projection Parameters'!$A$30=2,+Calculations!L40*Calculations!AD40*365/1000/1000000,0)</f>
        <v>0.5244845089254353</v>
      </c>
      <c r="AT40" s="120">
        <f>IF('Input - Projection Parameters'!$A$30=1,+Calculations!M40*Calculations!AE40*365/1000/1000000,0)</f>
        <v>0</v>
      </c>
      <c r="AU40" s="120">
        <f>IF('Input - Projection Parameters'!$A$30=2,+Calculations!N40*Calculations!AF40*365/1000/1000000,0)</f>
        <v>20.759395546752085</v>
      </c>
      <c r="AV40" s="120">
        <f>IF('Input - Projection Parameters'!$A$30=2,+Calculations!O40*Calculations!AG40*365/1000/1000000,0)</f>
        <v>2.965627935250298</v>
      </c>
      <c r="AW40" s="120">
        <f>IF('Input - Projection Parameters'!$A$30=2,+Calculations!P40*Calculations!AH40*365/1000/1000000,0)</f>
        <v>2.5949244433440124</v>
      </c>
      <c r="AX40" s="120">
        <f>IF('Input - Projection Parameters'!$A$30=2,+Calculations!Q40*Calculations!AI40*365/1000/1000000,0)</f>
        <v>2.313189789495233</v>
      </c>
      <c r="AY40" s="120">
        <f>IF('Input - Projection Parameters'!$A$30=2,+Calculations!R40*Calculations!AJ40*365/1000/1000000,0)</f>
        <v>0.20759395546752088</v>
      </c>
      <c r="AZ40" s="120">
        <f>IF('Input - Projection Parameters'!$A$30=2,+Calculations!S40*Calculations!AK40*365/1000/1000000,0)</f>
        <v>0.17793767611501785</v>
      </c>
      <c r="BA40" s="130">
        <f t="shared" si="0"/>
        <v>44.45162602155511</v>
      </c>
    </row>
    <row r="41" spans="2:53" ht="12.75">
      <c r="B41" s="4">
        <f t="shared" si="1"/>
        <v>2027</v>
      </c>
      <c r="C41" s="111">
        <f>+C40*(1+'Input - Projection Parameters'!AC6)</f>
        <v>693765.0138739322</v>
      </c>
      <c r="D41" s="116"/>
      <c r="E41" s="111">
        <f>+(E44-E39)/COUNT(B40:B44)+E40</f>
        <v>647395.8886464547</v>
      </c>
      <c r="F41" s="118">
        <f>+(F44-F39)/COUNT(B40:B44)+F40</f>
        <v>531700.3572916151</v>
      </c>
      <c r="G41" s="114">
        <f>+(G44-G39)/COUNT(B40:B44)+G40</f>
        <v>226588.56102625912</v>
      </c>
      <c r="H41" s="115">
        <f>+(H44-H39)/COUNT(B40:B44)+H40</f>
        <v>32369.794432322742</v>
      </c>
      <c r="I41" s="115">
        <f>+(I44-I39)/COUNT(B40:B44)+I40</f>
        <v>19421.87665939364</v>
      </c>
      <c r="J41" s="115">
        <f>+(J44-J39)/COUNT(B40:B44)+J40</f>
        <v>12947.917772929093</v>
      </c>
      <c r="K41" s="115">
        <f>+(K44-K39)/COUNT(B40:B44)+K40</f>
        <v>6473.958886464547</v>
      </c>
      <c r="L41" s="116">
        <f>+(L44-L39)/COUNT(B40:B44)+L40</f>
        <v>25895.835545858186</v>
      </c>
      <c r="M41" s="119">
        <f>+(M44-M38)/COUNT(B40:B44)+M40</f>
        <v>121403.52409447049</v>
      </c>
      <c r="N41" s="114">
        <f>+(N44-N39)/COUNT(B40:B44)+N40</f>
        <v>226588.56102625912</v>
      </c>
      <c r="O41" s="115">
        <f>+(O44-O39)/COUNT(B40:B44)+O40</f>
        <v>25895.835545858186</v>
      </c>
      <c r="P41" s="115">
        <f>+(P44-P39)/COUNT(B40:B44)+P40</f>
        <v>32369.794432322742</v>
      </c>
      <c r="Q41" s="115">
        <f>+(Q44-Q39)/COUNT(B40:B44)+Q40</f>
        <v>25895.835545858186</v>
      </c>
      <c r="R41" s="115">
        <f>+(R44-R39)/COUNT(B40:B44)+R40</f>
        <v>6473.958886464547</v>
      </c>
      <c r="S41" s="116">
        <f>+(S44-S39)/COUNT(B40:B44)+S40</f>
        <v>6473.958886464547</v>
      </c>
      <c r="U41" s="100"/>
      <c r="V41" s="107">
        <f t="shared" si="2"/>
        <v>2027</v>
      </c>
      <c r="X41" s="107">
        <f>+X40*(1+'Input - Projection Parameters'!$AC$12)^'Input - Projection Parameters'!$F$19*(1+'Input - Projection Parameters'!$AC$8)^'Input - Projection Parameters'!$F$20</f>
        <v>0</v>
      </c>
      <c r="Y41" s="117">
        <f>+Y40*(1+'Input - Projection Parameters'!$AC$12)^'Input - Projection Parameters'!$F$19*(1+'Input - Projection Parameters'!$AC$8)^'Input - Projection Parameters'!$F$20</f>
        <v>136.97692109752842</v>
      </c>
      <c r="Z41" s="117">
        <f>+Z40*(1+'Input - Projection Parameters'!$AC$12)^'Input - Projection Parameters'!$F$19*(1+'Input - Projection Parameters'!$AC$8)^'Input - Projection Parameters'!$F$20</f>
        <v>171.22115137191048</v>
      </c>
      <c r="AA41" s="117">
        <f>+AA40*(1+'Input - Projection Parameters'!$AC$12)^'Input - Projection Parameters'!$F$19*(1+'Input - Projection Parameters'!$AC$8)^'Input - Projection Parameters'!$F$20</f>
        <v>154.09903623471945</v>
      </c>
      <c r="AB41" s="117">
        <f>+AB40*(1+'Input - Projection Parameters'!$AC$12)^'Input - Projection Parameters'!$F$19*(1+'Input - Projection Parameters'!$AC$8)^'Input - Projection Parameters'!$F$20</f>
        <v>142.6842928099254</v>
      </c>
      <c r="AC41" s="117">
        <f>+AC40*(1+'Input - Projection Parameters'!$AC$12)^'Input - Projection Parameters'!$F$19*(1+'Input - Projection Parameters'!$AC$8)^'Input - Projection Parameters'!$F$20</f>
        <v>91.31794739835233</v>
      </c>
      <c r="AD41" s="117">
        <f>+AD40*(1+'Input - Projection Parameters'!$AC$12)^'Input - Projection Parameters'!$F$19*(1+'Input - Projection Parameters'!$AC$8)^'Input - Projection Parameters'!$F$20</f>
        <v>57.073717123970134</v>
      </c>
      <c r="AE41" s="117">
        <f>+AE40*(1+'Input - Projection Parameters'!$AC$8)^'Input - Projection Parameters'!$F$20</f>
        <v>0</v>
      </c>
      <c r="AF41" s="117">
        <f>+AF40*(1+'Input - Projection Parameters'!$AC$8)^'Input - Projection Parameters'!$F$20</f>
        <v>259.7920647719289</v>
      </c>
      <c r="AG41" s="117">
        <f>+AG40*(1+'Input - Projection Parameters'!$AC$8)^'Input - Projection Parameters'!$F$20</f>
        <v>324.74008096491116</v>
      </c>
      <c r="AH41" s="117">
        <f>+AH40*(1+'Input - Projection Parameters'!$AC$8)^'Input - Projection Parameters'!$F$20</f>
        <v>227.3180566754379</v>
      </c>
      <c r="AI41" s="117">
        <f>+AI40*(1+'Input - Projection Parameters'!$AC$8)^'Input - Projection Parameters'!$F$20</f>
        <v>253.29726315263082</v>
      </c>
      <c r="AJ41" s="117">
        <f>+AJ40*(1+'Input - Projection Parameters'!$AC$8)^'Input - Projection Parameters'!$F$20</f>
        <v>90.92722267017515</v>
      </c>
      <c r="AK41" s="117">
        <f>+AK40*(1+'Input - Projection Parameters'!$AC$8)^'Input - Projection Parameters'!$F$20</f>
        <v>77.93761943157867</v>
      </c>
      <c r="AM41" s="107">
        <f>IF('Input - Projection Parameters'!A51=1,+Calculations!F41*Calculations!X41*365/1000/1000000,0)</f>
        <v>0</v>
      </c>
      <c r="AN41" s="120">
        <f>IF('Input - Projection Parameters'!$A$30=2,+Calculations!G41*Calculations!Y41*365/1000/1000000,0)</f>
        <v>11.328652257533186</v>
      </c>
      <c r="AO41" s="120">
        <f>IF('Input - Projection Parameters'!$A$30=2,+Calculations!H41*Calculations!Z41*365/1000/1000000,0)</f>
        <v>2.0229736174166404</v>
      </c>
      <c r="AP41" s="120">
        <f>IF('Input - Projection Parameters'!$A$30=2,+Calculations!I41*Calculations!AA41*365/1000/1000000,0)</f>
        <v>1.0924057534049856</v>
      </c>
      <c r="AQ41" s="120">
        <f>IF('Input - Projection Parameters'!$A$30=2,+Calculations!J41*Calculations!AB41*365/1000/1000000,0)</f>
        <v>0.67432453913888</v>
      </c>
      <c r="AR41" s="120">
        <f>IF('Input - Projection Parameters'!$A$30=2,+Calculations!K41*Calculations!AC41*365/1000/1000000,0)</f>
        <v>0.2157838525244418</v>
      </c>
      <c r="AS41" s="120">
        <f>IF('Input - Projection Parameters'!$A$30=2,+Calculations!L41*Calculations!AD41*365/1000/1000000,0)</f>
        <v>0.5394596313111037</v>
      </c>
      <c r="AT41" s="120">
        <f>IF('Input - Projection Parameters'!$A$30=1,+Calculations!M41*Calculations!AE41*365/1000/1000000,0)</f>
        <v>0</v>
      </c>
      <c r="AU41" s="120">
        <f>IF('Input - Projection Parameters'!$A$30=2,+Calculations!N41*Calculations!AF41*365/1000/1000000,0)</f>
        <v>21.486057194789907</v>
      </c>
      <c r="AV41" s="120">
        <f>IF('Input - Projection Parameters'!$A$30=2,+Calculations!O41*Calculations!AG41*365/1000/1000000,0)</f>
        <v>3.069436742112844</v>
      </c>
      <c r="AW41" s="120">
        <f>IF('Input - Projection Parameters'!$A$30=2,+Calculations!P41*Calculations!AH41*365/1000/1000000,0)</f>
        <v>2.6857571493487407</v>
      </c>
      <c r="AX41" s="120">
        <f>IF('Input - Projection Parameters'!$A$30=2,+Calculations!Q41*Calculations!AI41*365/1000/1000000,0)</f>
        <v>2.39416065884802</v>
      </c>
      <c r="AY41" s="120">
        <f>IF('Input - Projection Parameters'!$A$30=2,+Calculations!R41*Calculations!AJ41*365/1000/1000000,0)</f>
        <v>0.21486057194789918</v>
      </c>
      <c r="AZ41" s="120">
        <f>IF('Input - Projection Parameters'!$A$30=2,+Calculations!S41*Calculations!AK41*365/1000/1000000,0)</f>
        <v>0.18416620452677063</v>
      </c>
      <c r="BA41" s="130">
        <f t="shared" si="0"/>
        <v>45.90803817290342</v>
      </c>
    </row>
    <row r="42" spans="2:53" ht="12.75">
      <c r="B42" s="4">
        <f t="shared" si="1"/>
        <v>2028</v>
      </c>
      <c r="C42" s="111">
        <f>+C41*(1+'Input - Projection Parameters'!AD6)</f>
        <v>704171.4890820411</v>
      </c>
      <c r="D42" s="116"/>
      <c r="E42" s="111">
        <f>+(E44-E39)/COUNT(B40:B44)+E41</f>
        <v>661324.6986718258</v>
      </c>
      <c r="F42" s="118">
        <f>+(F44-F39)/COUNT(B40:B44)+F41</f>
        <v>549735.2284991377</v>
      </c>
      <c r="G42" s="114">
        <f>+(G44-G39)/COUNT(B40:B44)+G41</f>
        <v>231463.64453513903</v>
      </c>
      <c r="H42" s="115">
        <f>+(H44-H39)/COUNT(B40:B44)+H41</f>
        <v>33066.2349335913</v>
      </c>
      <c r="I42" s="115">
        <f>+(I44-I39)/COUNT(B40:B44)+I41</f>
        <v>19839.740960154777</v>
      </c>
      <c r="J42" s="115">
        <f>+(J44-J39)/COUNT(B40:B44)+J41</f>
        <v>13226.493973436516</v>
      </c>
      <c r="K42" s="115">
        <f>+(K44-K39)/COUNT(B40:B44)+K41</f>
        <v>6613.246986718258</v>
      </c>
      <c r="L42" s="116">
        <f>+(L44-L39)/COUNT(B40:B44)+L41</f>
        <v>26452.987946873032</v>
      </c>
      <c r="M42" s="119">
        <f>+(M44-M39)/COUNT(B40:B44)+M41</f>
        <v>116230.7298039737</v>
      </c>
      <c r="N42" s="114">
        <f>+(N44-N39)/COUNT(B40:B44)+N41</f>
        <v>231463.64453513903</v>
      </c>
      <c r="O42" s="115">
        <f>+(O44-O39)/COUNT(B40:B44)+O41</f>
        <v>26452.987946873032</v>
      </c>
      <c r="P42" s="115">
        <f>+(P44-P39)/COUNT(B40:B44)+P41</f>
        <v>33066.2349335913</v>
      </c>
      <c r="Q42" s="115">
        <f>+(Q44-Q39)/COUNT(B40:B44)+Q41</f>
        <v>26452.987946873032</v>
      </c>
      <c r="R42" s="115">
        <f>+(R44-R39)/COUNT(B40:B44)+R41</f>
        <v>6613.246986718258</v>
      </c>
      <c r="S42" s="116">
        <f>+(S44-S39)/COUNT(B40:B44)+S41</f>
        <v>6613.246986718258</v>
      </c>
      <c r="U42" s="100"/>
      <c r="V42" s="107">
        <f t="shared" si="2"/>
        <v>2028</v>
      </c>
      <c r="X42" s="107">
        <f>+X41*(1+'Input - Projection Parameters'!$AD$12)^'Input - Projection Parameters'!$F$19*(1+'Input - Projection Parameters'!$AD$8)^'Input - Projection Parameters'!$F$20</f>
        <v>0</v>
      </c>
      <c r="Y42" s="117">
        <f>+Y41*(1+'Input - Projection Parameters'!$AD$12)^'Input - Projection Parameters'!$F$19*(1+'Input - Projection Parameters'!$AD$8)^'Input - Projection Parameters'!$F$20</f>
        <v>137.8566746377049</v>
      </c>
      <c r="Z42" s="117">
        <f>+Z41*(1+'Input - Projection Parameters'!$AD$12)^'Input - Projection Parameters'!$F$19*(1+'Input - Projection Parameters'!$AD$8)^'Input - Projection Parameters'!$F$20</f>
        <v>172.32084329713112</v>
      </c>
      <c r="AA42" s="117">
        <f>+AA41*(1+'Input - Projection Parameters'!$AD$12)^'Input - Projection Parameters'!$F$19*(1+'Input - Projection Parameters'!$AD$8)^'Input - Projection Parameters'!$F$20</f>
        <v>155.08875896741802</v>
      </c>
      <c r="AB42" s="117">
        <f>+AB41*(1+'Input - Projection Parameters'!$AD$12)^'Input - Projection Parameters'!$F$19*(1+'Input - Projection Parameters'!$AD$8)^'Input - Projection Parameters'!$F$20</f>
        <v>143.6007027476093</v>
      </c>
      <c r="AC42" s="117">
        <f>+AC41*(1+'Input - Projection Parameters'!$AD$12)^'Input - Projection Parameters'!$F$19*(1+'Input - Projection Parameters'!$AD$8)^'Input - Projection Parameters'!$F$20</f>
        <v>91.90444975847001</v>
      </c>
      <c r="AD42" s="117">
        <f>+AD41*(1+'Input - Projection Parameters'!$AD$12)^'Input - Projection Parameters'!$F$19*(1+'Input - Projection Parameters'!$AD$8)^'Input - Projection Parameters'!$F$20</f>
        <v>57.44028109904368</v>
      </c>
      <c r="AE42" s="117">
        <f>+AE41*(1+'Input - Projection Parameters'!$AD$8)^'Input - Projection Parameters'!$F$20</f>
        <v>0</v>
      </c>
      <c r="AF42" s="117">
        <f>+AF41*(1+'Input - Projection Parameters'!$AD$8)^'Input - Projection Parameters'!$F$20</f>
        <v>263.1007084609609</v>
      </c>
      <c r="AG42" s="117">
        <f>+AG41*(1+'Input - Projection Parameters'!$AD$8)^'Input - Projection Parameters'!$F$20</f>
        <v>328.87588557620114</v>
      </c>
      <c r="AH42" s="117">
        <f>+AH41*(1+'Input - Projection Parameters'!$AD$8)^'Input - Projection Parameters'!$F$20</f>
        <v>230.2131199033409</v>
      </c>
      <c r="AI42" s="117">
        <f>+AI41*(1+'Input - Projection Parameters'!$AD$8)^'Input - Projection Parameters'!$F$20</f>
        <v>256.52319074943705</v>
      </c>
      <c r="AJ42" s="117">
        <f>+AJ41*(1+'Input - Projection Parameters'!$AD$8)^'Input - Projection Parameters'!$F$20</f>
        <v>92.08524796133636</v>
      </c>
      <c r="AK42" s="117">
        <f>+AK41*(1+'Input - Projection Parameters'!$AD$8)^'Input - Projection Parameters'!$F$20</f>
        <v>78.93021253828827</v>
      </c>
      <c r="AM42" s="107">
        <f>IF('Input - Projection Parameters'!A52=1,+Calculations!F42*Calculations!X42*365/1000/1000000,0)</f>
        <v>0</v>
      </c>
      <c r="AN42" s="120">
        <f>IF('Input - Projection Parameters'!$A$30=2,+Calculations!G42*Calculations!Y42*365/1000/1000000,0)</f>
        <v>11.646715042325386</v>
      </c>
      <c r="AO42" s="120">
        <f>IF('Input - Projection Parameters'!$A$30=2,+Calculations!H42*Calculations!Z42*365/1000/1000000,0)</f>
        <v>2.0797705432723914</v>
      </c>
      <c r="AP42" s="120">
        <f>IF('Input - Projection Parameters'!$A$30=2,+Calculations!I42*Calculations!AA42*365/1000/1000000,0)</f>
        <v>1.123076093367091</v>
      </c>
      <c r="AQ42" s="120">
        <f>IF('Input - Projection Parameters'!$A$30=2,+Calculations!J42*Calculations!AB42*365/1000/1000000,0)</f>
        <v>0.6932568477574635</v>
      </c>
      <c r="AR42" s="120">
        <f>IF('Input - Projection Parameters'!$A$30=2,+Calculations!K42*Calculations!AC42*365/1000/1000000,0)</f>
        <v>0.22184219128238852</v>
      </c>
      <c r="AS42" s="120">
        <f>IF('Input - Projection Parameters'!$A$30=2,+Calculations!L42*Calculations!AD42*365/1000/1000000,0)</f>
        <v>0.5546054782059704</v>
      </c>
      <c r="AT42" s="120">
        <f>IF('Input - Projection Parameters'!$A$30=1,+Calculations!M42*Calculations!AE42*365/1000/1000000,0)</f>
        <v>0</v>
      </c>
      <c r="AU42" s="120">
        <f>IF('Input - Projection Parameters'!$A$30=2,+Calculations!N42*Calculations!AF42*365/1000/1000000,0)</f>
        <v>22.22786083395515</v>
      </c>
      <c r="AV42" s="120">
        <f>IF('Input - Projection Parameters'!$A$30=2,+Calculations!O42*Calculations!AG42*365/1000/1000000,0)</f>
        <v>3.1754086905650216</v>
      </c>
      <c r="AW42" s="120">
        <f>IF('Input - Projection Parameters'!$A$30=2,+Calculations!P42*Calculations!AH42*365/1000/1000000,0)</f>
        <v>2.778482604244396</v>
      </c>
      <c r="AX42" s="120">
        <f>IF('Input - Projection Parameters'!$A$30=2,+Calculations!Q42*Calculations!AI42*365/1000/1000000,0)</f>
        <v>2.4768187786407188</v>
      </c>
      <c r="AY42" s="120">
        <f>IF('Input - Projection Parameters'!$A$30=2,+Calculations!R42*Calculations!AJ42*365/1000/1000000,0)</f>
        <v>0.22227860833955163</v>
      </c>
      <c r="AZ42" s="120">
        <f>IF('Input - Projection Parameters'!$A$30=2,+Calculations!S42*Calculations!AK42*365/1000/1000000,0)</f>
        <v>0.1905245214339013</v>
      </c>
      <c r="BA42" s="130">
        <f t="shared" si="0"/>
        <v>47.390640233389426</v>
      </c>
    </row>
    <row r="43" spans="2:53" ht="12.75">
      <c r="B43" s="4">
        <f t="shared" si="1"/>
        <v>2029</v>
      </c>
      <c r="C43" s="111">
        <f>+C42*(1+'Input - Projection Parameters'!AE6)</f>
        <v>714734.0614182716</v>
      </c>
      <c r="D43" s="116"/>
      <c r="E43" s="111">
        <f>+(E44-E39)/COUNT(B40:B44)+E42</f>
        <v>675253.508697197</v>
      </c>
      <c r="F43" s="118">
        <f>+(F44-F39)/COUNT(B40:B44)+F42</f>
        <v>567770.0997066603</v>
      </c>
      <c r="G43" s="114">
        <f>+(G44-G39)/COUNT(B40:B44)+G42</f>
        <v>236338.72804401894</v>
      </c>
      <c r="H43" s="115">
        <f>+(H44-H39)/COUNT(B40:B44)+H42</f>
        <v>33762.67543485986</v>
      </c>
      <c r="I43" s="115">
        <f>+(I44-I39)/COUNT(B40:B44)+I42</f>
        <v>20257.605260915912</v>
      </c>
      <c r="J43" s="115">
        <f>+(J44-J39)/COUNT(B40:B44)+J42</f>
        <v>13505.07017394394</v>
      </c>
      <c r="K43" s="115">
        <f>+(K44-K39)/COUNT(B40:B44)+K42</f>
        <v>6752.53508697197</v>
      </c>
      <c r="L43" s="116">
        <f>+(L44-L39)/COUNT(B40:B44)+L42</f>
        <v>27010.14034788788</v>
      </c>
      <c r="M43" s="119">
        <f>+(M44-M39)/COUNT(B40:B44)+M42</f>
        <v>111057.93551347693</v>
      </c>
      <c r="N43" s="114">
        <f>+(N44-N39)/COUNT(B40:B44)+N42</f>
        <v>236338.72804401894</v>
      </c>
      <c r="O43" s="115">
        <f>+(O44-O39)/COUNT(B40:B44)+O42</f>
        <v>27010.14034788788</v>
      </c>
      <c r="P43" s="115">
        <f>+(P44-P39)/COUNT(B40:B44)+P42</f>
        <v>33762.67543485986</v>
      </c>
      <c r="Q43" s="115">
        <f>+(Q44-Q39)/COUNT(B40:B44)+Q42</f>
        <v>27010.14034788788</v>
      </c>
      <c r="R43" s="115">
        <f>+(R44-R39)/COUNT(B40:B44)+R42</f>
        <v>6752.53508697197</v>
      </c>
      <c r="S43" s="116">
        <f>+(S44-S39)/COUNT(B40:B44)+S42</f>
        <v>6752.53508697197</v>
      </c>
      <c r="U43" s="100"/>
      <c r="V43" s="107">
        <f t="shared" si="2"/>
        <v>2029</v>
      </c>
      <c r="X43" s="107">
        <f>+X42*(1+'Input - Projection Parameters'!$AE$12)^'Input - Projection Parameters'!$F$19*(1+'Input - Projection Parameters'!$AE$8)^'Input - Projection Parameters'!$F$20</f>
        <v>0</v>
      </c>
      <c r="Y43" s="117">
        <f>+Y42*(1+'Input - Projection Parameters'!$AE$12)^'Input - Projection Parameters'!$F$19*(1+'Input - Projection Parameters'!$AE$8)^'Input - Projection Parameters'!$F$20</f>
        <v>138.74207851872168</v>
      </c>
      <c r="Z43" s="117">
        <f>+Z42*(1+'Input - Projection Parameters'!$AE$12)^'Input - Projection Parameters'!$F$19*(1+'Input - Projection Parameters'!$AE$8)^'Input - Projection Parameters'!$F$20</f>
        <v>173.4275981484021</v>
      </c>
      <c r="AA43" s="117">
        <f>+AA42*(1+'Input - Projection Parameters'!$AE$12)^'Input - Projection Parameters'!$F$19*(1+'Input - Projection Parameters'!$AE$8)^'Input - Projection Parameters'!$F$20</f>
        <v>156.0848383335619</v>
      </c>
      <c r="AB43" s="117">
        <f>+AB42*(1+'Input - Projection Parameters'!$AE$12)^'Input - Projection Parameters'!$F$19*(1+'Input - Projection Parameters'!$AE$8)^'Input - Projection Parameters'!$F$20</f>
        <v>144.5229984570018</v>
      </c>
      <c r="AC43" s="117">
        <f>+AC42*(1+'Input - Projection Parameters'!$AE$12)^'Input - Projection Parameters'!$F$19*(1+'Input - Projection Parameters'!$AE$8)^'Input - Projection Parameters'!$F$20</f>
        <v>92.49471901248121</v>
      </c>
      <c r="AD43" s="117">
        <f>+AD42*(1+'Input - Projection Parameters'!$AE$12)^'Input - Projection Parameters'!$F$19*(1+'Input - Projection Parameters'!$AE$8)^'Input - Projection Parameters'!$F$20</f>
        <v>57.80919938280068</v>
      </c>
      <c r="AE43" s="117">
        <f>+AE42*(1+'Input - Projection Parameters'!$AE$8)^'Input - Projection Parameters'!$F$20</f>
        <v>0</v>
      </c>
      <c r="AF43" s="117">
        <f>+AF42*(1+'Input - Projection Parameters'!$AE$8)^'Input - Projection Parameters'!$F$20</f>
        <v>266.45149016937614</v>
      </c>
      <c r="AG43" s="117">
        <f>+AG42*(1+'Input - Projection Parameters'!$AE$8)^'Input - Projection Parameters'!$F$20</f>
        <v>333.0643627117202</v>
      </c>
      <c r="AH43" s="117">
        <f>+AH42*(1+'Input - Projection Parameters'!$AE$8)^'Input - Projection Parameters'!$F$20</f>
        <v>233.14505389820422</v>
      </c>
      <c r="AI43" s="117">
        <f>+AI42*(1+'Input - Projection Parameters'!$AE$8)^'Input - Projection Parameters'!$F$20</f>
        <v>259.7902029151419</v>
      </c>
      <c r="AJ43" s="117">
        <f>+AJ42*(1+'Input - Projection Parameters'!$AE$8)^'Input - Projection Parameters'!$F$20</f>
        <v>93.2580215592817</v>
      </c>
      <c r="AK43" s="117">
        <f>+AK42*(1+'Input - Projection Parameters'!$AE$8)^'Input - Projection Parameters'!$F$20</f>
        <v>79.93544705081285</v>
      </c>
      <c r="AM43" s="107">
        <f>IF('Input - Projection Parameters'!A53=1,+Calculations!F43*Calculations!X43*365/1000/1000000,0)</f>
        <v>0</v>
      </c>
      <c r="AN43" s="120">
        <f>IF('Input - Projection Parameters'!$A$30=2,+Calculations!G43*Calculations!Y43*365/1000/1000000,0)</f>
        <v>11.968396122603801</v>
      </c>
      <c r="AO43" s="120">
        <f>IF('Input - Projection Parameters'!$A$30=2,+Calculations!H43*Calculations!Z43*365/1000/1000000,0)</f>
        <v>2.137213593322108</v>
      </c>
      <c r="AP43" s="120">
        <f>IF('Input - Projection Parameters'!$A$30=2,+Calculations!I43*Calculations!AA43*365/1000/1000000,0)</f>
        <v>1.154095340393938</v>
      </c>
      <c r="AQ43" s="120">
        <f>IF('Input - Projection Parameters'!$A$30=2,+Calculations!J43*Calculations!AB43*365/1000/1000000,0)</f>
        <v>0.7124045311073693</v>
      </c>
      <c r="AR43" s="120">
        <f>IF('Input - Projection Parameters'!$A$30=2,+Calculations!K43*Calculations!AC43*365/1000/1000000,0)</f>
        <v>0.22796944995435836</v>
      </c>
      <c r="AS43" s="120">
        <f>IF('Input - Projection Parameters'!$A$30=2,+Calculations!L43*Calculations!AD43*365/1000/1000000,0)</f>
        <v>0.5699236248858951</v>
      </c>
      <c r="AT43" s="120">
        <f>IF('Input - Projection Parameters'!$A$30=1,+Calculations!M43*Calculations!AE43*365/1000/1000000,0)</f>
        <v>0</v>
      </c>
      <c r="AU43" s="120">
        <f>IF('Input - Projection Parameters'!$A$30=2,+Calculations!N43*Calculations!AF43*365/1000/1000000,0)</f>
        <v>22.985074289303277</v>
      </c>
      <c r="AV43" s="120">
        <f>IF('Input - Projection Parameters'!$A$30=2,+Calculations!O43*Calculations!AG43*365/1000/1000000,0)</f>
        <v>3.28358204132904</v>
      </c>
      <c r="AW43" s="120">
        <f>IF('Input - Projection Parameters'!$A$30=2,+Calculations!P43*Calculations!AH43*365/1000/1000000,0)</f>
        <v>2.8731342861629123</v>
      </c>
      <c r="AX43" s="120">
        <f>IF('Input - Projection Parameters'!$A$30=2,+Calculations!Q43*Calculations!AI43*365/1000/1000000,0)</f>
        <v>2.5611939922366522</v>
      </c>
      <c r="AY43" s="120">
        <f>IF('Input - Projection Parameters'!$A$30=2,+Calculations!R43*Calculations!AJ43*365/1000/1000000,0)</f>
        <v>0.2298507428930329</v>
      </c>
      <c r="AZ43" s="120">
        <f>IF('Input - Projection Parameters'!$A$30=2,+Calculations!S43*Calculations!AK43*365/1000/1000000,0)</f>
        <v>0.19701492247974242</v>
      </c>
      <c r="BA43" s="130">
        <f t="shared" si="0"/>
        <v>48.899852936672126</v>
      </c>
    </row>
    <row r="44" spans="2:53" ht="12.75">
      <c r="B44" s="4">
        <f t="shared" si="1"/>
        <v>2030</v>
      </c>
      <c r="C44" s="111">
        <f>+C43*(1+'Input - Projection Parameters'!AF6)</f>
        <v>725455.0723395456</v>
      </c>
      <c r="D44" s="116"/>
      <c r="E44" s="111">
        <f>+C44*'Input - Projection Parameters'!F69</f>
        <v>689182.3187225682</v>
      </c>
      <c r="F44" s="118">
        <f>+E44*'Input - Projection Parameters'!J82</f>
        <v>585804.970914183</v>
      </c>
      <c r="G44" s="114">
        <f>+E44*'Input - Projection Parameters'!J85</f>
        <v>241213.81155289887</v>
      </c>
      <c r="H44" s="115">
        <f>+E44*'Input - Projection Parameters'!J86</f>
        <v>34459.115936128415</v>
      </c>
      <c r="I44" s="115">
        <f>+E44*'Input - Projection Parameters'!J87</f>
        <v>20675.469561677044</v>
      </c>
      <c r="J44" s="115">
        <f>+E44*'Input - Projection Parameters'!J88</f>
        <v>13783.646374451364</v>
      </c>
      <c r="K44" s="115">
        <f>+E44*'Input - Projection Parameters'!J89</f>
        <v>6891.823187225682</v>
      </c>
      <c r="L44" s="116">
        <f>+E44*'Input - Projection Parameters'!J90</f>
        <v>27567.292748902728</v>
      </c>
      <c r="M44" s="119">
        <f>+C44*'Input - Projection Parameters'!J92</f>
        <v>108818.26085093184</v>
      </c>
      <c r="N44" s="114">
        <f>+E44*'Input - Projection Parameters'!J94</f>
        <v>241213.81155289887</v>
      </c>
      <c r="O44" s="115">
        <f>+E44*'Input - Projection Parameters'!J95</f>
        <v>27567.292748902728</v>
      </c>
      <c r="P44" s="115">
        <f>+E44*'Input - Projection Parameters'!J96</f>
        <v>34459.115936128415</v>
      </c>
      <c r="Q44" s="115">
        <f>+E44*'Input - Projection Parameters'!J97</f>
        <v>27567.292748902728</v>
      </c>
      <c r="R44" s="115">
        <f>+E44*'Input - Projection Parameters'!J98</f>
        <v>6891.823187225682</v>
      </c>
      <c r="S44" s="116">
        <f>+E44*'Input - Projection Parameters'!J99</f>
        <v>6891.823187225682</v>
      </c>
      <c r="U44" s="100"/>
      <c r="V44" s="107">
        <f t="shared" si="2"/>
        <v>2030</v>
      </c>
      <c r="X44" s="107">
        <f>+X43*(1+'Input - Projection Parameters'!$AF$12)^'Input - Projection Parameters'!$F$19*(1+'Input - Projection Parameters'!$AF$8)^'Input - Projection Parameters'!$F$20</f>
        <v>0</v>
      </c>
      <c r="Y44" s="117">
        <f>+Y43*(1+'Input - Projection Parameters'!$AF$12)^'Input - Projection Parameters'!$F$19*(1+'Input - Projection Parameters'!$AF$8)^'Input - Projection Parameters'!$F$20</f>
        <v>139.63316903068747</v>
      </c>
      <c r="Z44" s="117">
        <f>+Z43*(1+'Input - Projection Parameters'!$AF$12)^'Input - Projection Parameters'!$F$19*(1+'Input - Projection Parameters'!$AF$8)^'Input - Projection Parameters'!$F$20</f>
        <v>174.54146128835933</v>
      </c>
      <c r="AA44" s="117">
        <f>+AA43*(1+'Input - Projection Parameters'!$AF$12)^'Input - Projection Parameters'!$F$19*(1+'Input - Projection Parameters'!$AF$8)^'Input - Projection Parameters'!$F$20</f>
        <v>157.08731515952337</v>
      </c>
      <c r="AB44" s="117">
        <f>+AB43*(1+'Input - Projection Parameters'!$AF$12)^'Input - Projection Parameters'!$F$19*(1+'Input - Projection Parameters'!$AF$8)^'Input - Projection Parameters'!$F$20</f>
        <v>145.45121774029946</v>
      </c>
      <c r="AC44" s="117">
        <f>+AC43*(1+'Input - Projection Parameters'!$AF$12)^'Input - Projection Parameters'!$F$19*(1+'Input - Projection Parameters'!$AF$8)^'Input - Projection Parameters'!$F$20</f>
        <v>93.08877935379172</v>
      </c>
      <c r="AD44" s="117">
        <f>+AD43*(1+'Input - Projection Parameters'!$AF$12)^'Input - Projection Parameters'!$F$19*(1+'Input - Projection Parameters'!$AF$8)^'Input - Projection Parameters'!$F$20</f>
        <v>58.18048709611975</v>
      </c>
      <c r="AE44" s="117">
        <f>+AE43*(1+'Input - Projection Parameters'!$AF$8)^'Input - Projection Parameters'!$F$20</f>
        <v>0</v>
      </c>
      <c r="AF44" s="117">
        <f>+AF43*(1+'Input - Projection Parameters'!$AF$8)^'Input - Projection Parameters'!$F$20</f>
        <v>269.84494655595216</v>
      </c>
      <c r="AG44" s="117">
        <f>+AG43*(1+'Input - Projection Parameters'!$AF$8)^'Input - Projection Parameters'!$F$20</f>
        <v>337.3061831949403</v>
      </c>
      <c r="AH44" s="117">
        <f>+AH43*(1+'Input - Projection Parameters'!$AF$8)^'Input - Projection Parameters'!$F$20</f>
        <v>236.11432823645828</v>
      </c>
      <c r="AI44" s="117">
        <f>+AI43*(1+'Input - Projection Parameters'!$AF$8)^'Input - Projection Parameters'!$F$20</f>
        <v>263.09882289205353</v>
      </c>
      <c r="AJ44" s="117">
        <f>+AJ43*(1+'Input - Projection Parameters'!$AF$8)^'Input - Projection Parameters'!$F$20</f>
        <v>94.44573129458333</v>
      </c>
      <c r="AK44" s="117">
        <f>+AK43*(1+'Input - Projection Parameters'!$AF$8)^'Input - Projection Parameters'!$F$20</f>
        <v>80.95348396678567</v>
      </c>
      <c r="AM44" s="107">
        <f>IF('Input - Projection Parameters'!A54=1,+Calculations!F44*Calculations!X44*365/1000/1000000,0)</f>
        <v>0</v>
      </c>
      <c r="AN44" s="120">
        <f>IF('Input - Projection Parameters'!$A$30=2,+Calculations!G44*Calculations!Y44*365/1000/1000000,0)</f>
        <v>12.29372885620235</v>
      </c>
      <c r="AO44" s="120">
        <f>IF('Input - Projection Parameters'!$A$30=2,+Calculations!H44*Calculations!Z44*365/1000/1000000,0)</f>
        <v>2.1953087243218476</v>
      </c>
      <c r="AP44" s="120">
        <f>IF('Input - Projection Parameters'!$A$30=2,+Calculations!I44*Calculations!AA44*365/1000/1000000,0)</f>
        <v>1.1854667111337973</v>
      </c>
      <c r="AQ44" s="120">
        <f>IF('Input - Projection Parameters'!$A$30=2,+Calculations!J44*Calculations!AB44*365/1000/1000000,0)</f>
        <v>0.7317695747739493</v>
      </c>
      <c r="AR44" s="120">
        <f>IF('Input - Projection Parameters'!$A$30=2,+Calculations!K44*Calculations!AC44*365/1000/1000000,0)</f>
        <v>0.2341662639276639</v>
      </c>
      <c r="AS44" s="120">
        <f>IF('Input - Projection Parameters'!$A$30=2,+Calculations!L44*Calculations!AD44*365/1000/1000000,0)</f>
        <v>0.5854156598191592</v>
      </c>
      <c r="AT44" s="120">
        <f>IF('Input - Projection Parameters'!$A$30=1,+Calculations!M44*Calculations!AE44*365/1000/1000000,0)</f>
        <v>0</v>
      </c>
      <c r="AU44" s="120">
        <f>IF('Input - Projection Parameters'!$A$30=2,+Calculations!N44*Calculations!AF44*365/1000/1000000,0)</f>
        <v>23.75796975177307</v>
      </c>
      <c r="AV44" s="120">
        <f>IF('Input - Projection Parameters'!$A$30=2,+Calculations!O44*Calculations!AG44*365/1000/1000000,0)</f>
        <v>3.393995678824725</v>
      </c>
      <c r="AW44" s="120">
        <f>IF('Input - Projection Parameters'!$A$30=2,+Calculations!P44*Calculations!AH44*365/1000/1000000,0)</f>
        <v>2.969746218971636</v>
      </c>
      <c r="AX44" s="120">
        <f>IF('Input - Projection Parameters'!$A$30=2,+Calculations!Q44*Calculations!AI44*365/1000/1000000,0)</f>
        <v>2.647316629483287</v>
      </c>
      <c r="AY44" s="120">
        <f>IF('Input - Projection Parameters'!$A$30=2,+Calculations!R44*Calculations!AJ44*365/1000/1000000,0)</f>
        <v>0.23757969751773086</v>
      </c>
      <c r="AZ44" s="120">
        <f>IF('Input - Projection Parameters'!$A$30=2,+Calculations!S44*Calculations!AK44*365/1000/1000000,0)</f>
        <v>0.20363974072948354</v>
      </c>
      <c r="BA44" s="130">
        <f t="shared" si="0"/>
        <v>50.436103507478705</v>
      </c>
    </row>
    <row r="45" spans="2:53" ht="12.75">
      <c r="B45" s="4">
        <f t="shared" si="1"/>
        <v>2031</v>
      </c>
      <c r="C45" s="111">
        <f>+C44*(1+'Input - Projection Parameters'!AG6)</f>
        <v>736336.8984246387</v>
      </c>
      <c r="D45" s="116"/>
      <c r="E45" s="111">
        <f>+(E49-E44)/COUNT(B45:B49)+E44</f>
        <v>701397.914811944</v>
      </c>
      <c r="F45" s="118">
        <f>+(F49-F44)/COUNT(B45:B49)+F44</f>
        <v>603690.8305818469</v>
      </c>
      <c r="G45" s="114">
        <f>+(G49-G44)/COUNT(B45:B49)+G44</f>
        <v>245489.2701841804</v>
      </c>
      <c r="H45" s="115">
        <f>+(H49-H44)/COUNT(B45:B49)+H44</f>
        <v>35069.8957405972</v>
      </c>
      <c r="I45" s="115">
        <f>+(I49-I44)/COUNT(B45:B49)+I44</f>
        <v>21041.93744435832</v>
      </c>
      <c r="J45" s="115">
        <f>+(J49-J44)/COUNT(B45:B49)+J44</f>
        <v>14027.95829623888</v>
      </c>
      <c r="K45" s="115">
        <f>+(K49-K44)/COUNT(B45:B49)+K44</f>
        <v>7013.97914811944</v>
      </c>
      <c r="L45" s="116">
        <f>+(L49-L44)/COUNT(B45:B49)+L44</f>
        <v>28055.91659247776</v>
      </c>
      <c r="M45" s="119">
        <f>+(M49-M43)/COUNT(B45:B49)+M44</f>
        <v>102237.09664759994</v>
      </c>
      <c r="N45" s="114">
        <f>+(N49-N44)/COUNT(B45:B49)+N44</f>
        <v>245489.2701841804</v>
      </c>
      <c r="O45" s="115">
        <f>+(O49-O44)/COUNT(B45:B49)+O44</f>
        <v>28055.91659247776</v>
      </c>
      <c r="P45" s="115">
        <f>+(P49-P44)/COUNT(B45:B49)+P44</f>
        <v>35069.8957405972</v>
      </c>
      <c r="Q45" s="115">
        <f>+(Q49-Q44)/COUNT(B45:B49)+Q44</f>
        <v>28055.91659247776</v>
      </c>
      <c r="R45" s="115">
        <f>+(R49-R44)/COUNT(B45:B49)+R44</f>
        <v>7013.97914811944</v>
      </c>
      <c r="S45" s="116">
        <f>+(S49-S44)/COUNT(B45:B49)+S44</f>
        <v>7013.97914811944</v>
      </c>
      <c r="U45" s="100"/>
      <c r="V45" s="107">
        <f t="shared" si="2"/>
        <v>2031</v>
      </c>
      <c r="X45" s="107">
        <f>+X44*(1+'Input - Projection Parameters'!$AG$12)^'Input - Projection Parameters'!$F$19*(1+'Input - Projection Parameters'!$AG$8)^'Input - Projection Parameters'!$F$20</f>
        <v>0</v>
      </c>
      <c r="Y45" s="117">
        <f>+Y44*(1+'Input - Projection Parameters'!$AG$12)^'Input - Projection Parameters'!$F$19*(1+'Input - Projection Parameters'!$AG$8)^'Input - Projection Parameters'!$F$20</f>
        <v>140.52998269678926</v>
      </c>
      <c r="Z45" s="117">
        <f>+Z44*(1+'Input - Projection Parameters'!$AG$12)^'Input - Projection Parameters'!$F$19*(1+'Input - Projection Parameters'!$AG$8)^'Input - Projection Parameters'!$F$20</f>
        <v>175.66247837098658</v>
      </c>
      <c r="AA45" s="117">
        <f>+AA44*(1+'Input - Projection Parameters'!$AG$12)^'Input - Projection Parameters'!$F$19*(1+'Input - Projection Parameters'!$AG$8)^'Input - Projection Parameters'!$F$20</f>
        <v>158.0962305338879</v>
      </c>
      <c r="AB45" s="117">
        <f>+AB44*(1+'Input - Projection Parameters'!$AG$12)^'Input - Projection Parameters'!$F$19*(1+'Input - Projection Parameters'!$AG$8)^'Input - Projection Parameters'!$F$20</f>
        <v>146.3853986424888</v>
      </c>
      <c r="AC45" s="117">
        <f>+AC44*(1+'Input - Projection Parameters'!$AG$12)^'Input - Projection Parameters'!$F$19*(1+'Input - Projection Parameters'!$AG$8)^'Input - Projection Parameters'!$F$20</f>
        <v>93.68665513119294</v>
      </c>
      <c r="AD45" s="117">
        <f>+AD44*(1+'Input - Projection Parameters'!$AG$12)^'Input - Projection Parameters'!$F$19*(1+'Input - Projection Parameters'!$AG$8)^'Input - Projection Parameters'!$F$20</f>
        <v>58.5541594569955</v>
      </c>
      <c r="AE45" s="117">
        <f>+AE44*(1+'Input - Projection Parameters'!$AG$8)^'Input - Projection Parameters'!$F$20</f>
        <v>0</v>
      </c>
      <c r="AF45" s="117">
        <f>+AF44*(1+'Input - Projection Parameters'!$AG$8)^'Input - Projection Parameters'!$F$20</f>
        <v>273.2816211142122</v>
      </c>
      <c r="AG45" s="117">
        <f>+AG44*(1+'Input - Projection Parameters'!$AG$8)^'Input - Projection Parameters'!$F$20</f>
        <v>341.6020263927653</v>
      </c>
      <c r="AH45" s="117">
        <f>+AH44*(1+'Input - Projection Parameters'!$AG$8)^'Input - Projection Parameters'!$F$20</f>
        <v>239.1214184749358</v>
      </c>
      <c r="AI45" s="117">
        <f>+AI44*(1+'Input - Projection Parameters'!$AG$8)^'Input - Projection Parameters'!$F$20</f>
        <v>266.44958058635706</v>
      </c>
      <c r="AJ45" s="117">
        <f>+AJ44*(1+'Input - Projection Parameters'!$AG$8)^'Input - Projection Parameters'!$F$20</f>
        <v>95.64856738997433</v>
      </c>
      <c r="AK45" s="117">
        <f>+AK44*(1+'Input - Projection Parameters'!$AG$8)^'Input - Projection Parameters'!$F$20</f>
        <v>81.98448633426368</v>
      </c>
      <c r="AM45" s="107">
        <f>IF('Input - Projection Parameters'!A55=1,+Calculations!F45*Calculations!X45*365/1000/1000000,0)</f>
        <v>0</v>
      </c>
      <c r="AN45" s="120">
        <f>IF('Input - Projection Parameters'!$A$30=2,+Calculations!G45*Calculations!Y45*365/1000/1000000,0)</f>
        <v>12.591990055299059</v>
      </c>
      <c r="AO45" s="120">
        <f>IF('Input - Projection Parameters'!$A$30=2,+Calculations!H45*Calculations!Z45*365/1000/1000000,0)</f>
        <v>2.2485696527319745</v>
      </c>
      <c r="AP45" s="120">
        <f>IF('Input - Projection Parameters'!$A$30=2,+Calculations!I45*Calculations!AA45*365/1000/1000000,0)</f>
        <v>1.2142276124752662</v>
      </c>
      <c r="AQ45" s="120">
        <f>IF('Input - Projection Parameters'!$A$30=2,+Calculations!J45*Calculations!AB45*365/1000/1000000,0)</f>
        <v>0.7495232175773248</v>
      </c>
      <c r="AR45" s="120">
        <f>IF('Input - Projection Parameters'!$A$30=2,+Calculations!K45*Calculations!AC45*365/1000/1000000,0)</f>
        <v>0.23984742962474417</v>
      </c>
      <c r="AS45" s="120">
        <f>IF('Input - Projection Parameters'!$A$30=2,+Calculations!L45*Calculations!AD45*365/1000/1000000,0)</f>
        <v>0.5996185740618596</v>
      </c>
      <c r="AT45" s="120">
        <f>IF('Input - Projection Parameters'!$A$30=1,+Calculations!M45*Calculations!AE45*365/1000/1000000,0)</f>
        <v>0</v>
      </c>
      <c r="AU45" s="120">
        <f>IF('Input - Projection Parameters'!$A$30=2,+Calculations!N45*Calculations!AF45*365/1000/1000000,0)</f>
        <v>24.487012588558347</v>
      </c>
      <c r="AV45" s="120">
        <f>IF('Input - Projection Parameters'!$A$30=2,+Calculations!O45*Calculations!AG45*365/1000/1000000,0)</f>
        <v>3.4981446555083355</v>
      </c>
      <c r="AW45" s="120">
        <f>IF('Input - Projection Parameters'!$A$30=2,+Calculations!P45*Calculations!AH45*365/1000/1000000,0)</f>
        <v>3.060876573569795</v>
      </c>
      <c r="AX45" s="120">
        <f>IF('Input - Projection Parameters'!$A$30=2,+Calculations!Q45*Calculations!AI45*365/1000/1000000,0)</f>
        <v>2.7285528312965033</v>
      </c>
      <c r="AY45" s="120">
        <f>IF('Input - Projection Parameters'!$A$30=2,+Calculations!R45*Calculations!AJ45*365/1000/1000000,0)</f>
        <v>0.2448701258855836</v>
      </c>
      <c r="AZ45" s="120">
        <f>IF('Input - Projection Parameters'!$A$30=2,+Calculations!S45*Calculations!AK45*365/1000/1000000,0)</f>
        <v>0.20988867933050015</v>
      </c>
      <c r="BA45" s="130">
        <f t="shared" si="0"/>
        <v>51.87312199591929</v>
      </c>
    </row>
    <row r="46" spans="2:53" ht="12.75">
      <c r="B46" s="4">
        <f t="shared" si="1"/>
        <v>2032</v>
      </c>
      <c r="C46" s="111">
        <f>+C45*(1+'Input - Projection Parameters'!AH6)</f>
        <v>747381.9519010081</v>
      </c>
      <c r="D46" s="116"/>
      <c r="E46" s="111">
        <f>+(E49-E44)/COUNT(B45:B49)+E45</f>
        <v>713613.5109013198</v>
      </c>
      <c r="F46" s="118">
        <f>+(F49-F44)/COUNT(B45:B49)+F45</f>
        <v>621576.6902495108</v>
      </c>
      <c r="G46" s="114">
        <f>+(G49-G44)/COUNT(B45:B49)+G45</f>
        <v>249764.72881546195</v>
      </c>
      <c r="H46" s="115">
        <f>+(H49-H44)/COUNT(B45:B49)+H45</f>
        <v>35680.67554506599</v>
      </c>
      <c r="I46" s="115">
        <f>+(I49-I44)/COUNT(B45:B49)+I45</f>
        <v>21408.405327039593</v>
      </c>
      <c r="J46" s="115">
        <f>+(J49-J44)/COUNT(B45:B49)+J45</f>
        <v>14272.270218026395</v>
      </c>
      <c r="K46" s="115">
        <f>+(K49-K44)/COUNT(B45:B49)+K45</f>
        <v>7136.1351090131975</v>
      </c>
      <c r="L46" s="116">
        <f>+(L49-L44)/COUNT(B45:B49)+L45</f>
        <v>28544.54043605279</v>
      </c>
      <c r="M46" s="119">
        <f>+(M49-M43)/COUNT(B45:B49)+M45</f>
        <v>95655.93244426805</v>
      </c>
      <c r="N46" s="114">
        <f>+(N49-N44)/COUNT(B45:B49)+N45</f>
        <v>249764.72881546195</v>
      </c>
      <c r="O46" s="115">
        <f>+(O49-O44)/COUNT(B45:B49)+O45</f>
        <v>28544.54043605279</v>
      </c>
      <c r="P46" s="115">
        <f>+(P49-P44)/COUNT(B45:B49)+P45</f>
        <v>35680.67554506599</v>
      </c>
      <c r="Q46" s="115">
        <f>+(Q49-Q44)/COUNT(B45:B49)+Q45</f>
        <v>28544.54043605279</v>
      </c>
      <c r="R46" s="115">
        <f>+(R49-R44)/COUNT(B45:B49)+R45</f>
        <v>7136.1351090131975</v>
      </c>
      <c r="S46" s="116">
        <f>+(S49-S44)/COUNT(B45:B49)+S45</f>
        <v>7136.1351090131975</v>
      </c>
      <c r="U46" s="100"/>
      <c r="V46" s="107">
        <f t="shared" si="2"/>
        <v>2032</v>
      </c>
      <c r="X46" s="107">
        <f>+X45*(1+'Input - Projection Parameters'!$AH$12)^'Input - Projection Parameters'!$F$19*(1+'Input - Projection Parameters'!$AH$8)^'Input - Projection Parameters'!$F$20</f>
        <v>0</v>
      </c>
      <c r="Y46" s="117">
        <f>+Y45*(1+'Input - Projection Parameters'!$AH$12)^'Input - Projection Parameters'!$F$19*(1+'Input - Projection Parameters'!$AH$8)^'Input - Projection Parameters'!$F$20</f>
        <v>141.43255627478942</v>
      </c>
      <c r="Z46" s="117">
        <f>+Z45*(1+'Input - Projection Parameters'!$AH$12)^'Input - Projection Parameters'!$F$19*(1+'Input - Projection Parameters'!$AH$8)^'Input - Projection Parameters'!$F$20</f>
        <v>176.7906953434868</v>
      </c>
      <c r="AA46" s="117">
        <f>+AA45*(1+'Input - Projection Parameters'!$AH$12)^'Input - Projection Parameters'!$F$19*(1+'Input - Projection Parameters'!$AH$8)^'Input - Projection Parameters'!$F$20</f>
        <v>159.1116258091381</v>
      </c>
      <c r="AB46" s="117">
        <f>+AB45*(1+'Input - Projection Parameters'!$AH$12)^'Input - Projection Parameters'!$F$19*(1+'Input - Projection Parameters'!$AH$8)^'Input - Projection Parameters'!$F$20</f>
        <v>147.32557945290566</v>
      </c>
      <c r="AC46" s="117">
        <f>+AC45*(1+'Input - Projection Parameters'!$AH$12)^'Input - Projection Parameters'!$F$19*(1+'Input - Projection Parameters'!$AH$8)^'Input - Projection Parameters'!$F$20</f>
        <v>94.28837084985972</v>
      </c>
      <c r="AD46" s="117">
        <f>+AD45*(1+'Input - Projection Parameters'!$AH$12)^'Input - Projection Parameters'!$F$19*(1+'Input - Projection Parameters'!$AH$8)^'Input - Projection Parameters'!$F$20</f>
        <v>58.93023178116224</v>
      </c>
      <c r="AE46" s="117">
        <f>+AE45*(1+'Input - Projection Parameters'!$AH$8)^'Input - Projection Parameters'!$F$20</f>
        <v>0</v>
      </c>
      <c r="AF46" s="117">
        <f>+AF45*(1+'Input - Projection Parameters'!$AH$8)^'Input - Projection Parameters'!$F$20</f>
        <v>276.76206425947055</v>
      </c>
      <c r="AG46" s="117">
        <f>+AG45*(1+'Input - Projection Parameters'!$AH$8)^'Input - Projection Parameters'!$F$20</f>
        <v>345.95258032433827</v>
      </c>
      <c r="AH46" s="117">
        <f>+AH45*(1+'Input - Projection Parameters'!$AH$8)^'Input - Projection Parameters'!$F$20</f>
        <v>242.16680622703686</v>
      </c>
      <c r="AI46" s="117">
        <f>+AI45*(1+'Input - Projection Parameters'!$AH$8)^'Input - Projection Parameters'!$F$20</f>
        <v>269.84301265298393</v>
      </c>
      <c r="AJ46" s="117">
        <f>+AJ45*(1+'Input - Projection Parameters'!$AH$8)^'Input - Projection Parameters'!$F$20</f>
        <v>96.86672249081475</v>
      </c>
      <c r="AK46" s="117">
        <f>+AK45*(1+'Input - Projection Parameters'!$AH$8)^'Input - Projection Parameters'!$F$20</f>
        <v>83.02861927784119</v>
      </c>
      <c r="AM46" s="107">
        <f>IF('Input - Projection Parameters'!A56=1,+Calculations!F46*Calculations!X46*365/1000/1000000,0)</f>
        <v>0</v>
      </c>
      <c r="AN46" s="120">
        <f>IF('Input - Projection Parameters'!$A$30=2,+Calculations!G46*Calculations!Y46*365/1000/1000000,0)</f>
        <v>12.893575383232374</v>
      </c>
      <c r="AO46" s="120">
        <f>IF('Input - Projection Parameters'!$A$30=2,+Calculations!H46*Calculations!Z46*365/1000/1000000,0)</f>
        <v>2.3024241755772095</v>
      </c>
      <c r="AP46" s="120">
        <f>IF('Input - Projection Parameters'!$A$30=2,+Calculations!I46*Calculations!AA46*365/1000/1000000,0)</f>
        <v>1.2433090548116932</v>
      </c>
      <c r="AQ46" s="120">
        <f>IF('Input - Projection Parameters'!$A$30=2,+Calculations!J46*Calculations!AB46*365/1000/1000000,0)</f>
        <v>0.7674747251924032</v>
      </c>
      <c r="AR46" s="120">
        <f>IF('Input - Projection Parameters'!$A$30=2,+Calculations!K46*Calculations!AC46*365/1000/1000000,0)</f>
        <v>0.24559191206156927</v>
      </c>
      <c r="AS46" s="120">
        <f>IF('Input - Projection Parameters'!$A$30=2,+Calculations!L46*Calculations!AD46*365/1000/1000000,0)</f>
        <v>0.6139797801539223</v>
      </c>
      <c r="AT46" s="120">
        <f>IF('Input - Projection Parameters'!$A$30=1,+Calculations!M46*Calculations!AE46*365/1000/1000000,0)</f>
        <v>0</v>
      </c>
      <c r="AU46" s="120">
        <f>IF('Input - Projection Parameters'!$A$30=2,+Calculations!N46*Calculations!AF46*365/1000/1000000,0)</f>
        <v>25.230771703053556</v>
      </c>
      <c r="AV46" s="120">
        <f>IF('Input - Projection Parameters'!$A$30=2,+Calculations!O46*Calculations!AG46*365/1000/1000000,0)</f>
        <v>3.6043959575790794</v>
      </c>
      <c r="AW46" s="120">
        <f>IF('Input - Projection Parameters'!$A$30=2,+Calculations!P46*Calculations!AH46*365/1000/1000000,0)</f>
        <v>3.153846462881696</v>
      </c>
      <c r="AX46" s="120">
        <f>IF('Input - Projection Parameters'!$A$30=2,+Calculations!Q46*Calculations!AI46*365/1000/1000000,0)</f>
        <v>2.811428846911683</v>
      </c>
      <c r="AY46" s="120">
        <f>IF('Input - Projection Parameters'!$A$30=2,+Calculations!R46*Calculations!AJ46*365/1000/1000000,0)</f>
        <v>0.2523077170305356</v>
      </c>
      <c r="AZ46" s="120">
        <f>IF('Input - Projection Parameters'!$A$30=2,+Calculations!S46*Calculations!AK46*365/1000/1000000,0)</f>
        <v>0.21626375745474477</v>
      </c>
      <c r="BA46" s="130">
        <f t="shared" si="0"/>
        <v>53.33536947594047</v>
      </c>
    </row>
    <row r="47" spans="2:53" ht="12.75">
      <c r="B47" s="4">
        <f t="shared" si="1"/>
        <v>2033</v>
      </c>
      <c r="C47" s="111">
        <f>+C46*(1+'Input - Projection Parameters'!AI6)</f>
        <v>758592.6811795232</v>
      </c>
      <c r="D47" s="116"/>
      <c r="E47" s="111">
        <f>+(E49-E44)/COUNT(B45:B49)+E46</f>
        <v>725829.1069906956</v>
      </c>
      <c r="F47" s="118">
        <f>+(F49-F44)/COUNT(B45:B49)+F46</f>
        <v>639462.5499171747</v>
      </c>
      <c r="G47" s="114">
        <f>+(G49-G44)/COUNT(B45:B49)+G46</f>
        <v>254040.18744674348</v>
      </c>
      <c r="H47" s="115">
        <f>+(H49-H44)/COUNT(B45:B49)+H46</f>
        <v>36291.45534953478</v>
      </c>
      <c r="I47" s="115">
        <f>+(I49-I44)/COUNT(B45:B49)+I46</f>
        <v>21774.873209720867</v>
      </c>
      <c r="J47" s="115">
        <f>+(J49-J44)/COUNT(B45:B49)+J46</f>
        <v>14516.58213981391</v>
      </c>
      <c r="K47" s="115">
        <f>+(K49-K44)/COUNT(B45:B49)+K46</f>
        <v>7258.291069906955</v>
      </c>
      <c r="L47" s="116">
        <f>+(L49-L44)/COUNT(B45:B49)+L46</f>
        <v>29033.16427962782</v>
      </c>
      <c r="M47" s="119">
        <f>+(M49-M44)/COUNT(B45:B49)+M46</f>
        <v>89522.70317344517</v>
      </c>
      <c r="N47" s="114">
        <f>+(N49-N44)/COUNT(B45:B49)+N46</f>
        <v>254040.18744674348</v>
      </c>
      <c r="O47" s="115">
        <f>+(O49-O44)/COUNT(B45:B49)+O46</f>
        <v>29033.16427962782</v>
      </c>
      <c r="P47" s="115">
        <f>+(P49-P44)/COUNT(B45:B49)+P46</f>
        <v>36291.45534953478</v>
      </c>
      <c r="Q47" s="115">
        <f>+(Q49-Q44)/COUNT(B45:B49)+Q46</f>
        <v>29033.16427962782</v>
      </c>
      <c r="R47" s="115">
        <f>+(R49-R44)/COUNT(B45:B49)+R46</f>
        <v>7258.291069906955</v>
      </c>
      <c r="S47" s="116">
        <f>+(S49-S44)/COUNT(B45:B49)+S46</f>
        <v>7258.291069906955</v>
      </c>
      <c r="U47" s="100"/>
      <c r="V47" s="107">
        <f t="shared" si="2"/>
        <v>2033</v>
      </c>
      <c r="X47" s="107">
        <f>+X46*(1+'Input - Projection Parameters'!$AI$12)^'Input - Projection Parameters'!$F$19*(1+'Input - Projection Parameters'!$AI$8)^'Input - Projection Parameters'!$F$20</f>
        <v>0</v>
      </c>
      <c r="Y47" s="117">
        <f>+Y46*(1+'Input - Projection Parameters'!$AI$12)^'Input - Projection Parameters'!$F$19*(1+'Input - Projection Parameters'!$AI$8)^'Input - Projection Parameters'!$F$20</f>
        <v>142.3409267585322</v>
      </c>
      <c r="Z47" s="117">
        <f>+Z46*(1+'Input - Projection Parameters'!$AI$12)^'Input - Projection Parameters'!$F$19*(1+'Input - Projection Parameters'!$AI$8)^'Input - Projection Parameters'!$F$20</f>
        <v>177.92615844816527</v>
      </c>
      <c r="AA47" s="117">
        <f>+AA46*(1+'Input - Projection Parameters'!$AI$12)^'Input - Projection Parameters'!$F$19*(1+'Input - Projection Parameters'!$AI$8)^'Input - Projection Parameters'!$F$20</f>
        <v>160.13354260334876</v>
      </c>
      <c r="AB47" s="117">
        <f>+AB46*(1+'Input - Projection Parameters'!$AI$12)^'Input - Projection Parameters'!$F$19*(1+'Input - Projection Parameters'!$AI$8)^'Input - Projection Parameters'!$F$20</f>
        <v>148.2717987068044</v>
      </c>
      <c r="AC47" s="117">
        <f>+AC46*(1+'Input - Projection Parameters'!$AI$12)^'Input - Projection Parameters'!$F$19*(1+'Input - Projection Parameters'!$AI$8)^'Input - Projection Parameters'!$F$20</f>
        <v>94.89395117235492</v>
      </c>
      <c r="AD47" s="117">
        <f>+AD46*(1+'Input - Projection Parameters'!$AI$12)^'Input - Projection Parameters'!$F$19*(1+'Input - Projection Parameters'!$AI$8)^'Input - Projection Parameters'!$F$20</f>
        <v>59.308719482721735</v>
      </c>
      <c r="AE47" s="117">
        <f>+AE46*(1+'Input - Projection Parameters'!$AI$8)^'Input - Projection Parameters'!$F$20</f>
        <v>0</v>
      </c>
      <c r="AF47" s="117">
        <f>+AF46*(1+'Input - Projection Parameters'!$AI$8)^'Input - Projection Parameters'!$F$20</f>
        <v>280.28683341698684</v>
      </c>
      <c r="AG47" s="117">
        <f>+AG46*(1+'Input - Projection Parameters'!$AI$8)^'Input - Projection Parameters'!$F$20</f>
        <v>350.3585417712336</v>
      </c>
      <c r="AH47" s="117">
        <f>+AH46*(1+'Input - Projection Parameters'!$AI$8)^'Input - Projection Parameters'!$F$20</f>
        <v>245.2509792398636</v>
      </c>
      <c r="AI47" s="117">
        <f>+AI46*(1+'Input - Projection Parameters'!$AI$8)^'Input - Projection Parameters'!$F$20</f>
        <v>273.2796625815623</v>
      </c>
      <c r="AJ47" s="117">
        <f>+AJ46*(1+'Input - Projection Parameters'!$AI$8)^'Input - Projection Parameters'!$F$20</f>
        <v>98.10039169594545</v>
      </c>
      <c r="AK47" s="117">
        <f>+AK46*(1+'Input - Projection Parameters'!$AI$8)^'Input - Projection Parameters'!$F$20</f>
        <v>84.08605002509607</v>
      </c>
      <c r="AM47" s="107">
        <f>IF('Input - Projection Parameters'!A57=1,+Calculations!F47*Calculations!X47*365/1000/1000000,0)</f>
        <v>0</v>
      </c>
      <c r="AN47" s="120">
        <f>IF('Input - Projection Parameters'!$A$30=2,+Calculations!G47*Calculations!Y47*365/1000/1000000,0)</f>
        <v>13.198515236004456</v>
      </c>
      <c r="AO47" s="120">
        <f>IF('Input - Projection Parameters'!$A$30=2,+Calculations!H47*Calculations!Z47*365/1000/1000000,0)</f>
        <v>2.3568777207150817</v>
      </c>
      <c r="AP47" s="120">
        <f>IF('Input - Projection Parameters'!$A$30=2,+Calculations!I47*Calculations!AA47*365/1000/1000000,0)</f>
        <v>1.2727139691861442</v>
      </c>
      <c r="AQ47" s="120">
        <f>IF('Input - Projection Parameters'!$A$30=2,+Calculations!J47*Calculations!AB47*365/1000/1000000,0)</f>
        <v>0.7856259069050271</v>
      </c>
      <c r="AR47" s="120">
        <f>IF('Input - Projection Parameters'!$A$30=2,+Calculations!K47*Calculations!AC47*365/1000/1000000,0)</f>
        <v>0.251400290209609</v>
      </c>
      <c r="AS47" s="120">
        <f>IF('Input - Projection Parameters'!$A$30=2,+Calculations!L47*Calculations!AD47*365/1000/1000000,0)</f>
        <v>0.6285007255240216</v>
      </c>
      <c r="AT47" s="120">
        <f>IF('Input - Projection Parameters'!$A$30=1,+Calculations!M47*Calculations!AE47*365/1000/1000000,0)</f>
        <v>0</v>
      </c>
      <c r="AU47" s="120">
        <f>IF('Input - Projection Parameters'!$A$30=2,+Calculations!N47*Calculations!AF47*365/1000/1000000,0)</f>
        <v>25.98950369053851</v>
      </c>
      <c r="AV47" s="120">
        <f>IF('Input - Projection Parameters'!$A$30=2,+Calculations!O47*Calculations!AG47*365/1000/1000000,0)</f>
        <v>3.7127862415055013</v>
      </c>
      <c r="AW47" s="120">
        <f>IF('Input - Projection Parameters'!$A$30=2,+Calculations!P47*Calculations!AH47*365/1000/1000000,0)</f>
        <v>3.2486879613173154</v>
      </c>
      <c r="AX47" s="120">
        <f>IF('Input - Projection Parameters'!$A$30=2,+Calculations!Q47*Calculations!AI47*365/1000/1000000,0)</f>
        <v>2.895973268374292</v>
      </c>
      <c r="AY47" s="120">
        <f>IF('Input - Projection Parameters'!$A$30=2,+Calculations!R47*Calculations!AJ47*365/1000/1000000,0)</f>
        <v>0.2598950369053852</v>
      </c>
      <c r="AZ47" s="120">
        <f>IF('Input - Projection Parameters'!$A$30=2,+Calculations!S47*Calculations!AK47*365/1000/1000000,0)</f>
        <v>0.22276717449033007</v>
      </c>
      <c r="BA47" s="130">
        <f t="shared" si="0"/>
        <v>54.823247221675665</v>
      </c>
    </row>
    <row r="48" spans="2:53" ht="12.75">
      <c r="B48" s="4">
        <f t="shared" si="1"/>
        <v>2034</v>
      </c>
      <c r="C48" s="111">
        <f>+C47*(1+'Input - Projection Parameters'!AJ6)</f>
        <v>769971.5713972161</v>
      </c>
      <c r="D48" s="116"/>
      <c r="E48" s="111">
        <f>+(E49-E44)/COUNT(B45:B49)+E47</f>
        <v>738044.7030800714</v>
      </c>
      <c r="F48" s="118">
        <f>+(F49-F44)/COUNT(B45:B49)+F47</f>
        <v>657348.4095848387</v>
      </c>
      <c r="G48" s="114">
        <f>+(G49-G44)/COUNT(B45:B49)+G47</f>
        <v>258315.64607802502</v>
      </c>
      <c r="H48" s="115">
        <f>+(H49-H44)/COUNT(B45:B49)+H47</f>
        <v>36902.23515400357</v>
      </c>
      <c r="I48" s="115">
        <f>+(I49-I44)/COUNT(B45:B49)+I47</f>
        <v>22141.34109240214</v>
      </c>
      <c r="J48" s="115">
        <f>+(J49-J44)/COUNT(B45:B49)+J47</f>
        <v>14760.894061601426</v>
      </c>
      <c r="K48" s="115">
        <f>+(K49-K44)/COUNT(B45:B49)+K47</f>
        <v>7380.447030800713</v>
      </c>
      <c r="L48" s="116">
        <f>+(L49-L44)/COUNT(B45:B49)+L47</f>
        <v>29521.788123202852</v>
      </c>
      <c r="M48" s="119">
        <f>+(M49-M44)/COUNT(B45:B49)+M47</f>
        <v>83389.4739026223</v>
      </c>
      <c r="N48" s="114">
        <f>+(N49-N44)/COUNT(B45:B49)+N47</f>
        <v>258315.64607802502</v>
      </c>
      <c r="O48" s="115">
        <f>+(O49-O44)/COUNT(B45:B49)+O47</f>
        <v>29521.788123202852</v>
      </c>
      <c r="P48" s="115">
        <f>+(P49-P44)/COUNT(B45:B49)+P47</f>
        <v>36902.23515400357</v>
      </c>
      <c r="Q48" s="115">
        <f>+(Q49-Q44)/COUNT(B45:B49)+Q47</f>
        <v>29521.788123202852</v>
      </c>
      <c r="R48" s="115">
        <f>+(R49-R44)/COUNT(B45:B49)+R47</f>
        <v>7380.447030800713</v>
      </c>
      <c r="S48" s="116">
        <f>+(S49-S44)/COUNT(B45:B49)+S47</f>
        <v>7380.447030800713</v>
      </c>
      <c r="U48" s="100"/>
      <c r="V48" s="107">
        <f t="shared" si="2"/>
        <v>2034</v>
      </c>
      <c r="X48" s="107">
        <f>+X47*(1+'Input - Projection Parameters'!$AJ$12)^'Input - Projection Parameters'!$F$19*(1+'Input - Projection Parameters'!$AJ$8)^'Input - Projection Parameters'!$F$20</f>
        <v>0</v>
      </c>
      <c r="Y48" s="117">
        <f>+Y47*(1+'Input - Projection Parameters'!$AJ$12)^'Input - Projection Parameters'!$F$19*(1+'Input - Projection Parameters'!$AJ$8)^'Input - Projection Parameters'!$F$20</f>
        <v>143.25513137946</v>
      </c>
      <c r="Z48" s="117">
        <f>+Z47*(1+'Input - Projection Parameters'!$AJ$12)^'Input - Projection Parameters'!$F$19*(1+'Input - Projection Parameters'!$AJ$8)^'Input - Projection Parameters'!$F$20</f>
        <v>179.06891422432503</v>
      </c>
      <c r="AA48" s="117">
        <f>+AA47*(1+'Input - Projection Parameters'!$AJ$12)^'Input - Projection Parameters'!$F$19*(1+'Input - Projection Parameters'!$AJ$8)^'Input - Projection Parameters'!$F$20</f>
        <v>161.16202280189253</v>
      </c>
      <c r="AB48" s="117">
        <f>+AB47*(1+'Input - Projection Parameters'!$AJ$12)^'Input - Projection Parameters'!$F$19*(1+'Input - Projection Parameters'!$AJ$8)^'Input - Projection Parameters'!$F$20</f>
        <v>149.22409518693752</v>
      </c>
      <c r="AC48" s="117">
        <f>+AC47*(1+'Input - Projection Parameters'!$AJ$12)^'Input - Projection Parameters'!$F$19*(1+'Input - Projection Parameters'!$AJ$8)^'Input - Projection Parameters'!$F$20</f>
        <v>95.50342091964012</v>
      </c>
      <c r="AD48" s="117">
        <f>+AD47*(1+'Input - Projection Parameters'!$AJ$12)^'Input - Projection Parameters'!$F$19*(1+'Input - Projection Parameters'!$AJ$8)^'Input - Projection Parameters'!$F$20</f>
        <v>59.68963807477498</v>
      </c>
      <c r="AE48" s="117">
        <f>+AE47*(1+'Input - Projection Parameters'!$AJ$8)^'Input - Projection Parameters'!$F$20</f>
        <v>0</v>
      </c>
      <c r="AF48" s="117">
        <f>+AF47*(1+'Input - Projection Parameters'!$AJ$8)^'Input - Projection Parameters'!$F$20</f>
        <v>283.85649311124274</v>
      </c>
      <c r="AG48" s="117">
        <f>+AG47*(1+'Input - Projection Parameters'!$AJ$8)^'Input - Projection Parameters'!$F$20</f>
        <v>354.8206163890535</v>
      </c>
      <c r="AH48" s="117">
        <f>+AH47*(1+'Input - Projection Parameters'!$AJ$8)^'Input - Projection Parameters'!$F$20</f>
        <v>248.37443147233753</v>
      </c>
      <c r="AI48" s="117">
        <f>+AI47*(1+'Input - Projection Parameters'!$AJ$8)^'Input - Projection Parameters'!$F$20</f>
        <v>276.76008078346183</v>
      </c>
      <c r="AJ48" s="117">
        <f>+AJ47*(1+'Input - Projection Parameters'!$AJ$8)^'Input - Projection Parameters'!$F$20</f>
        <v>99.34977258893502</v>
      </c>
      <c r="AK48" s="117">
        <f>+AK47*(1+'Input - Projection Parameters'!$AJ$8)^'Input - Projection Parameters'!$F$20</f>
        <v>85.15694793337285</v>
      </c>
      <c r="AM48" s="107">
        <f>IF('Input - Projection Parameters'!A58=1,+Calculations!F48*Calculations!X48*365/1000/1000000,0)</f>
        <v>0</v>
      </c>
      <c r="AN48" s="120">
        <f>IF('Input - Projection Parameters'!$A$30=2,+Calculations!G48*Calculations!Y48*365/1000/1000000,0)</f>
        <v>13.506840262941312</v>
      </c>
      <c r="AO48" s="120">
        <f>IF('Input - Projection Parameters'!$A$30=2,+Calculations!H48*Calculations!Z48*365/1000/1000000,0)</f>
        <v>2.41193576123952</v>
      </c>
      <c r="AP48" s="120">
        <f>IF('Input - Projection Parameters'!$A$30=2,+Calculations!I48*Calculations!AA48*365/1000/1000000,0)</f>
        <v>1.3024453110693408</v>
      </c>
      <c r="AQ48" s="120">
        <f>IF('Input - Projection Parameters'!$A$30=2,+Calculations!J48*Calculations!AB48*365/1000/1000000,0)</f>
        <v>0.8039785870798399</v>
      </c>
      <c r="AR48" s="120">
        <f>IF('Input - Projection Parameters'!$A$30=2,+Calculations!K48*Calculations!AC48*365/1000/1000000,0)</f>
        <v>0.25727314786554906</v>
      </c>
      <c r="AS48" s="120">
        <f>IF('Input - Projection Parameters'!$A$30=2,+Calculations!L48*Calculations!AD48*365/1000/1000000,0)</f>
        <v>0.6431828696638716</v>
      </c>
      <c r="AT48" s="120">
        <f>IF('Input - Projection Parameters'!$A$30=1,+Calculations!M48*Calculations!AE48*365/1000/1000000,0)</f>
        <v>0</v>
      </c>
      <c r="AU48" s="120">
        <f>IF('Input - Projection Parameters'!$A$30=2,+Calculations!N48*Calculations!AF48*365/1000/1000000,0)</f>
        <v>26.76346929518769</v>
      </c>
      <c r="AV48" s="120">
        <f>IF('Input - Projection Parameters'!$A$30=2,+Calculations!O48*Calculations!AG48*365/1000/1000000,0)</f>
        <v>3.8233527564553844</v>
      </c>
      <c r="AW48" s="120">
        <f>IF('Input - Projection Parameters'!$A$30=2,+Calculations!P48*Calculations!AH48*365/1000/1000000,0)</f>
        <v>3.3454336618984626</v>
      </c>
      <c r="AX48" s="120">
        <f>IF('Input - Projection Parameters'!$A$30=2,+Calculations!Q48*Calculations!AI48*365/1000/1000000,0)</f>
        <v>2.9822151500352008</v>
      </c>
      <c r="AY48" s="120">
        <f>IF('Input - Projection Parameters'!$A$30=2,+Calculations!R48*Calculations!AJ48*365/1000/1000000,0)</f>
        <v>0.26763469295187703</v>
      </c>
      <c r="AZ48" s="120">
        <f>IF('Input - Projection Parameters'!$A$30=2,+Calculations!S48*Calculations!AK48*365/1000/1000000,0)</f>
        <v>0.22940116538732305</v>
      </c>
      <c r="BA48" s="130">
        <f t="shared" si="0"/>
        <v>56.33716266177538</v>
      </c>
    </row>
    <row r="49" spans="2:53" ht="12.75">
      <c r="B49" s="4">
        <f t="shared" si="1"/>
        <v>2035</v>
      </c>
      <c r="C49" s="111">
        <f>+C48*(1+'Input - Projection Parameters'!AK6)</f>
        <v>781521.1449681743</v>
      </c>
      <c r="D49" s="116"/>
      <c r="E49" s="111">
        <f>+C49*'Input - Projection Parameters'!F70</f>
        <v>750260.2991694473</v>
      </c>
      <c r="F49" s="118">
        <f>+E49*'Input - Projection Parameters'!K82</f>
        <v>675234.2692525026</v>
      </c>
      <c r="G49" s="114">
        <f>+E49*'Input - Projection Parameters'!K85</f>
        <v>262591.10470930656</v>
      </c>
      <c r="H49" s="115">
        <f>+E49*'Input - Projection Parameters'!K86</f>
        <v>37513.01495847236</v>
      </c>
      <c r="I49" s="115">
        <f>+E49*'Input - Projection Parameters'!K87</f>
        <v>22507.80897508342</v>
      </c>
      <c r="J49" s="115">
        <f>+E49*'Input - Projection Parameters'!K88</f>
        <v>15005.205983388945</v>
      </c>
      <c r="K49" s="115">
        <f>+E49*'Input - Projection Parameters'!K89</f>
        <v>7502.602991694473</v>
      </c>
      <c r="L49" s="116">
        <f>+E49*'Input - Projection Parameters'!K90</f>
        <v>30010.41196677789</v>
      </c>
      <c r="M49" s="119">
        <f>+C49*'Input - Projection Parameters'!K92</f>
        <v>78152.11449681743</v>
      </c>
      <c r="N49" s="114">
        <f>+E49*'Input - Projection Parameters'!K94</f>
        <v>262591.10470930656</v>
      </c>
      <c r="O49" s="115">
        <f>+E49*'Input - Projection Parameters'!K95</f>
        <v>30010.41196677789</v>
      </c>
      <c r="P49" s="115">
        <f>+E49*'Input - Projection Parameters'!K96</f>
        <v>37513.01495847236</v>
      </c>
      <c r="Q49" s="115">
        <f>+E49*'Input - Projection Parameters'!K97</f>
        <v>30010.41196677789</v>
      </c>
      <c r="R49" s="115">
        <f>+E49*'Input - Projection Parameters'!K98</f>
        <v>7502.602991694473</v>
      </c>
      <c r="S49" s="116">
        <f>+E49*'Input - Projection Parameters'!K99</f>
        <v>7502.602991694473</v>
      </c>
      <c r="U49" s="100"/>
      <c r="V49" s="107">
        <f t="shared" si="2"/>
        <v>2035</v>
      </c>
      <c r="X49" s="107">
        <f>+X48*(1+'Input - Projection Parameters'!$AK$12)^'Input - Projection Parameters'!$F$19*(1+'Input - Projection Parameters'!$AK$8)^'Input - Projection Parameters'!$F$20</f>
        <v>0</v>
      </c>
      <c r="Y49" s="117">
        <f>+Y48*(1+'Input - Projection Parameters'!$AK$12)^'Input - Projection Parameters'!$F$19*(1+'Input - Projection Parameters'!$AK$8)^'Input - Projection Parameters'!$F$20</f>
        <v>144.1752076081394</v>
      </c>
      <c r="Z49" s="117">
        <f>+Z48*(1+'Input - Projection Parameters'!$AK$12)^'Input - Projection Parameters'!$F$19*(1+'Input - Projection Parameters'!$AK$8)^'Input - Projection Parameters'!$F$20</f>
        <v>180.2190095101743</v>
      </c>
      <c r="AA49" s="117">
        <f>+AA48*(1+'Input - Projection Parameters'!$AK$12)^'Input - Projection Parameters'!$F$19*(1+'Input - Projection Parameters'!$AK$8)^'Input - Projection Parameters'!$F$20</f>
        <v>162.19710855915687</v>
      </c>
      <c r="AB49" s="117">
        <f>+AB48*(1+'Input - Projection Parameters'!$AK$12)^'Input - Projection Parameters'!$F$19*(1+'Input - Projection Parameters'!$AK$8)^'Input - Projection Parameters'!$F$20</f>
        <v>150.18250792514522</v>
      </c>
      <c r="AC49" s="117">
        <f>+AC48*(1+'Input - Projection Parameters'!$AK$12)^'Input - Projection Parameters'!$F$19*(1+'Input - Projection Parameters'!$AK$8)^'Input - Projection Parameters'!$F$20</f>
        <v>96.11680507209306</v>
      </c>
      <c r="AD49" s="117">
        <f>+AD48*(1+'Input - Projection Parameters'!$AK$12)^'Input - Projection Parameters'!$F$19*(1+'Input - Projection Parameters'!$AK$8)^'Input - Projection Parameters'!$F$20</f>
        <v>60.073003170058065</v>
      </c>
      <c r="AE49" s="117">
        <f>+AE48*(1+'Input - Projection Parameters'!$AK$8)^'Input - Projection Parameters'!$F$20</f>
        <v>0</v>
      </c>
      <c r="AF49" s="117">
        <f>+AF48*(1+'Input - Projection Parameters'!$AK$8)^'Input - Projection Parameters'!$F$20</f>
        <v>287.471615056356</v>
      </c>
      <c r="AG49" s="117">
        <f>+AG48*(1+'Input - Projection Parameters'!$AK$8)^'Input - Projection Parameters'!$F$20</f>
        <v>359.339518820445</v>
      </c>
      <c r="AH49" s="117">
        <f>+AH48*(1+'Input - Projection Parameters'!$AK$8)^'Input - Projection Parameters'!$F$20</f>
        <v>251.53766317431158</v>
      </c>
      <c r="AI49" s="117">
        <f>+AI48*(1+'Input - Projection Parameters'!$AK$8)^'Input - Projection Parameters'!$F$20</f>
        <v>280.2848246799472</v>
      </c>
      <c r="AJ49" s="117">
        <f>+AJ48*(1+'Input - Projection Parameters'!$AK$8)^'Input - Projection Parameters'!$F$20</f>
        <v>100.61506526972465</v>
      </c>
      <c r="AK49" s="117">
        <f>+AK48*(1+'Input - Projection Parameters'!$AK$8)^'Input - Projection Parameters'!$F$20</f>
        <v>86.24148451690681</v>
      </c>
      <c r="AM49" s="107">
        <f>IF('Input - Projection Parameters'!A59=1,+Calculations!F49*Calculations!X49*365/1000/1000000,0)</f>
        <v>0</v>
      </c>
      <c r="AN49" s="120">
        <f>IF('Input - Projection Parameters'!$A$30=2,+Calculations!G49*Calculations!Y49*365/1000/1000000,0)</f>
        <v>13.818581368692955</v>
      </c>
      <c r="AO49" s="120">
        <f>IF('Input - Projection Parameters'!$A$30=2,+Calculations!H49*Calculations!Z49*365/1000/1000000,0)</f>
        <v>2.467603815838028</v>
      </c>
      <c r="AP49" s="120">
        <f>IF('Input - Projection Parameters'!$A$30=2,+Calculations!I49*Calculations!AA49*365/1000/1000000,0)</f>
        <v>1.3325060605525354</v>
      </c>
      <c r="AQ49" s="120">
        <f>IF('Input - Projection Parameters'!$A$30=2,+Calculations!J49*Calculations!AB49*365/1000/1000000,0)</f>
        <v>0.8225346052793425</v>
      </c>
      <c r="AR49" s="120">
        <f>IF('Input - Projection Parameters'!$A$30=2,+Calculations!K49*Calculations!AC49*365/1000/1000000,0)</f>
        <v>0.2632110736893899</v>
      </c>
      <c r="AS49" s="120">
        <f>IF('Input - Projection Parameters'!$A$30=2,+Calculations!L49*Calculations!AD49*365/1000/1000000,0)</f>
        <v>0.6580276842234738</v>
      </c>
      <c r="AT49" s="120">
        <f>IF('Input - Projection Parameters'!$A$30=1,+Calculations!M49*Calculations!AE49*365/1000/1000000,0)</f>
        <v>0</v>
      </c>
      <c r="AU49" s="120">
        <f>IF('Input - Projection Parameters'!$A$30=2,+Calculations!N49*Calculations!AF49*365/1000/1000000,0)</f>
        <v>27.55293347412922</v>
      </c>
      <c r="AV49" s="120">
        <f>IF('Input - Projection Parameters'!$A$30=2,+Calculations!O49*Calculations!AG49*365/1000/1000000,0)</f>
        <v>3.9361333534470315</v>
      </c>
      <c r="AW49" s="120">
        <f>IF('Input - Projection Parameters'!$A$30=2,+Calculations!P49*Calculations!AH49*365/1000/1000000,0)</f>
        <v>3.4441166842661532</v>
      </c>
      <c r="AX49" s="120">
        <f>IF('Input - Projection Parameters'!$A$30=2,+Calculations!Q49*Calculations!AI49*365/1000/1000000,0)</f>
        <v>3.0701840156886853</v>
      </c>
      <c r="AY49" s="120">
        <f>IF('Input - Projection Parameters'!$A$30=2,+Calculations!R49*Calculations!AJ49*365/1000/1000000,0)</f>
        <v>0.2755293347412923</v>
      </c>
      <c r="AZ49" s="120">
        <f>IF('Input - Projection Parameters'!$A$30=2,+Calculations!S49*Calculations!AK49*365/1000/1000000,0)</f>
        <v>0.2361680012068219</v>
      </c>
      <c r="BA49" s="130">
        <f t="shared" si="0"/>
        <v>57.87752947175494</v>
      </c>
    </row>
    <row r="50" spans="2:53" ht="12.75">
      <c r="B50" s="4">
        <f>+B49+1</f>
        <v>2036</v>
      </c>
      <c r="C50" s="111">
        <f>+C49*(1+'Input - Projection Parameters'!AL6)</f>
        <v>793243.9621426968</v>
      </c>
      <c r="D50" s="116"/>
      <c r="E50" s="111">
        <f>+(E54-E49)/COUNT(B50:B54)+E49</f>
        <v>763540.7636008512</v>
      </c>
      <c r="F50" s="118">
        <f>+(F54-F49)/COUNT(B50:B54)+F49</f>
        <v>695353.3134540308</v>
      </c>
      <c r="G50" s="114">
        <f>+(G54-G49)/COUNT(B50:B54)+G49</f>
        <v>267239.26726029796</v>
      </c>
      <c r="H50" s="115">
        <f>+(H54-H49)/COUNT(B50:B54)+H49</f>
        <v>38177.03818004256</v>
      </c>
      <c r="I50" s="115">
        <f>+(I54-I49)/COUNT(B50:B54)+I49</f>
        <v>22906.22290802554</v>
      </c>
      <c r="J50" s="115">
        <f>+(J54-J49)/COUNT(B50:B54)+J49</f>
        <v>15270.815272017024</v>
      </c>
      <c r="K50" s="115">
        <f>+(K54-K49)/COUNT(B50:B54)+K49</f>
        <v>7635.407636008512</v>
      </c>
      <c r="L50" s="116">
        <f>+(L54-L49)/COUNT(B50:B54)+L49</f>
        <v>30541.630544034047</v>
      </c>
      <c r="M50" s="119">
        <f>+(M54-M48)/COUNT(B50:B54)+M49</f>
        <v>69893.42199800913</v>
      </c>
      <c r="N50" s="114">
        <f>+(N54-N49)/COUNT(B50:B54)+N49</f>
        <v>267239.26726029796</v>
      </c>
      <c r="O50" s="115">
        <f>+(O54-O49)/COUNT(B50:B54)+O49</f>
        <v>30541.630544034047</v>
      </c>
      <c r="P50" s="115">
        <f>+(P54-P49)/COUNT(B50:B54)+P49</f>
        <v>38177.03818004256</v>
      </c>
      <c r="Q50" s="115">
        <f>+(Q54-Q49)/COUNT(B50:B54)+Q49</f>
        <v>30541.630544034047</v>
      </c>
      <c r="R50" s="115">
        <f>+(R54-R49)/COUNT(B50:B54)+R49</f>
        <v>7635.407636008512</v>
      </c>
      <c r="S50" s="116">
        <f>+(S54-S49)/COUNT(B50:B54)+S49</f>
        <v>7635.407636008512</v>
      </c>
      <c r="U50" s="100"/>
      <c r="V50" s="107">
        <f>+V49+1</f>
        <v>2036</v>
      </c>
      <c r="X50" s="107">
        <f>+X49*(1+'Input - Projection Parameters'!$AL$12)^'Input - Projection Parameters'!$F$19*(1+'Input - Projection Parameters'!$AL$8)^'Input - Projection Parameters'!$F$20</f>
        <v>0</v>
      </c>
      <c r="Y50" s="117">
        <f>+Y49*(1+'Input - Projection Parameters'!$AL$12)^'Input - Projection Parameters'!$F$19*(1+'Input - Projection Parameters'!$AL$8)^'Input - Projection Parameters'!$F$20</f>
        <v>145.10119315579698</v>
      </c>
      <c r="Z50" s="117">
        <f>+Z49*(1+'Input - Projection Parameters'!$AL$12)^'Input - Projection Parameters'!$F$19*(1+'Input - Projection Parameters'!$AL$8)^'Input - Projection Parameters'!$F$20</f>
        <v>181.37649144474625</v>
      </c>
      <c r="AA50" s="117">
        <f>+AA49*(1+'Input - Projection Parameters'!$AL$12)^'Input - Projection Parameters'!$F$19*(1+'Input - Projection Parameters'!$AL$8)^'Input - Projection Parameters'!$F$20</f>
        <v>163.23884230027164</v>
      </c>
      <c r="AB50" s="117">
        <f>+AB49*(1+'Input - Projection Parameters'!$AL$12)^'Input - Projection Parameters'!$F$19*(1+'Input - Projection Parameters'!$AL$8)^'Input - Projection Parameters'!$F$20</f>
        <v>151.1470762039552</v>
      </c>
      <c r="AC50" s="117">
        <f>+AC49*(1+'Input - Projection Parameters'!$AL$12)^'Input - Projection Parameters'!$F$19*(1+'Input - Projection Parameters'!$AL$8)^'Input - Projection Parameters'!$F$20</f>
        <v>96.73412877053144</v>
      </c>
      <c r="AD50" s="117">
        <f>+AD49*(1+'Input - Projection Parameters'!$AL$12)^'Input - Projection Parameters'!$F$19*(1+'Input - Projection Parameters'!$AL$8)^'Input - Projection Parameters'!$F$20</f>
        <v>60.458830481582055</v>
      </c>
      <c r="AE50" s="117">
        <f>+AE49*(1+'Input - Projection Parameters'!$AL$8)^'Input - Projection Parameters'!$F$20</f>
        <v>0</v>
      </c>
      <c r="AF50" s="117">
        <f>+AF49*(1+'Input - Projection Parameters'!$AL$8)^'Input - Projection Parameters'!$F$20</f>
        <v>291.1327782476453</v>
      </c>
      <c r="AG50" s="117">
        <f>+AG49*(1+'Input - Projection Parameters'!$AL$8)^'Input - Projection Parameters'!$F$20</f>
        <v>363.9159728095567</v>
      </c>
      <c r="AH50" s="117">
        <f>+AH49*(1+'Input - Projection Parameters'!$AL$8)^'Input - Projection Parameters'!$F$20</f>
        <v>254.74118096668977</v>
      </c>
      <c r="AI50" s="117">
        <f>+AI49*(1+'Input - Projection Parameters'!$AL$8)^'Input - Projection Parameters'!$F$20</f>
        <v>283.8544587914543</v>
      </c>
      <c r="AJ50" s="117">
        <f>+AJ49*(1+'Input - Projection Parameters'!$AL$8)^'Input - Projection Parameters'!$F$20</f>
        <v>101.89647238667594</v>
      </c>
      <c r="AK50" s="117">
        <f>+AK49*(1+'Input - Projection Parameters'!$AL$8)^'Input - Projection Parameters'!$F$20</f>
        <v>87.33983347429363</v>
      </c>
      <c r="AM50" s="107">
        <f>IF('Input - Projection Parameters'!A60=1,+Calculations!F50*Calculations!X50*365/1000/1000000,0)</f>
        <v>0</v>
      </c>
      <c r="AN50" s="120">
        <f>IF('Input - Projection Parameters'!$A$30=2,+Calculations!G50*Calculations!Y50*365/1000/1000000,0)</f>
        <v>14.153508836205804</v>
      </c>
      <c r="AO50" s="120">
        <f>IF('Input - Projection Parameters'!$A$30=2,+Calculations!H50*Calculations!Z50*365/1000/1000000,0)</f>
        <v>2.5274122921796076</v>
      </c>
      <c r="AP50" s="120">
        <f>IF('Input - Projection Parameters'!$A$30=2,+Calculations!I50*Calculations!AA50*365/1000/1000000,0)</f>
        <v>1.3648026377769886</v>
      </c>
      <c r="AQ50" s="120">
        <f>IF('Input - Projection Parameters'!$A$30=2,+Calculations!J50*Calculations!AB50*365/1000/1000000,0)</f>
        <v>0.8424707640598692</v>
      </c>
      <c r="AR50" s="120">
        <f>IF('Input - Projection Parameters'!$A$30=2,+Calculations!K50*Calculations!AC50*365/1000/1000000,0)</f>
        <v>0.2695906444991584</v>
      </c>
      <c r="AS50" s="120">
        <f>IF('Input - Projection Parameters'!$A$30=2,+Calculations!L50*Calculations!AD50*365/1000/1000000,0)</f>
        <v>0.6739766112478952</v>
      </c>
      <c r="AT50" s="120">
        <f>IF('Input - Projection Parameters'!$A$30=1,+Calculations!M50*Calculations!AE50*365/1000/1000000,0)</f>
        <v>0</v>
      </c>
      <c r="AU50" s="120">
        <f>IF('Input - Projection Parameters'!$A$30=2,+Calculations!N50*Calculations!AF50*365/1000/1000000,0)</f>
        <v>28.397770272039775</v>
      </c>
      <c r="AV50" s="120">
        <f>IF('Input - Projection Parameters'!$A$30=2,+Calculations!O50*Calculations!AG50*365/1000/1000000,0)</f>
        <v>4.056824324577111</v>
      </c>
      <c r="AW50" s="120">
        <f>IF('Input - Projection Parameters'!$A$30=2,+Calculations!P50*Calculations!AH50*365/1000/1000000,0)</f>
        <v>3.549721284004973</v>
      </c>
      <c r="AX50" s="120">
        <f>IF('Input - Projection Parameters'!$A$30=2,+Calculations!Q50*Calculations!AI50*365/1000/1000000,0)</f>
        <v>3.1643229731701474</v>
      </c>
      <c r="AY50" s="120">
        <f>IF('Input - Projection Parameters'!$A$30=2,+Calculations!R50*Calculations!AJ50*365/1000/1000000,0)</f>
        <v>0.2839777027203979</v>
      </c>
      <c r="AZ50" s="120">
        <f>IF('Input - Projection Parameters'!$A$30=2,+Calculations!S50*Calculations!AK50*365/1000/1000000,0)</f>
        <v>0.2434094594746267</v>
      </c>
      <c r="BA50" s="130">
        <f t="shared" si="0"/>
        <v>59.52778780195635</v>
      </c>
    </row>
    <row r="51" spans="2:53" ht="12.75">
      <c r="B51" s="4">
        <f>+B50+1</f>
        <v>2037</v>
      </c>
      <c r="C51" s="111">
        <f>+C50*(1+'Input - Projection Parameters'!AM6)</f>
        <v>805142.6215748372</v>
      </c>
      <c r="D51" s="116"/>
      <c r="E51" s="111">
        <f>+(E54-E49)/COUNT(B50:B54)+E50</f>
        <v>776821.2280322551</v>
      </c>
      <c r="F51" s="118">
        <f>+(F54-F49)/COUNT(B50:B54)+F50</f>
        <v>715472.357655559</v>
      </c>
      <c r="G51" s="114">
        <f>+(G54-G49)/COUNT(B50:B54)+G50</f>
        <v>271887.42981128936</v>
      </c>
      <c r="H51" s="115">
        <f>+(H54-H49)/COUNT(B50:B54)+H50</f>
        <v>38841.06140161276</v>
      </c>
      <c r="I51" s="115">
        <f>+(I54-I49)/COUNT(B50:B54)+I50</f>
        <v>23304.636840967658</v>
      </c>
      <c r="J51" s="115">
        <f>+(J54-J49)/COUNT(B50:B54)+J50</f>
        <v>15536.424560645102</v>
      </c>
      <c r="K51" s="115">
        <f>+(K54-K49)/COUNT(B50:B54)+K50</f>
        <v>7768.212280322551</v>
      </c>
      <c r="L51" s="116">
        <f>+(L54-L49)/COUNT(B50:B54)+L50</f>
        <v>31072.849121290204</v>
      </c>
      <c r="M51" s="119">
        <f>+(M54-M48)/COUNT(B50:B54)+M50</f>
        <v>61634.729499200825</v>
      </c>
      <c r="N51" s="114">
        <f>+(N54-N49)/COUNT(B50:B54)+N50</f>
        <v>271887.42981128936</v>
      </c>
      <c r="O51" s="115">
        <f>+(O54-O49)/COUNT(B50:B54)+O50</f>
        <v>31072.849121290204</v>
      </c>
      <c r="P51" s="115">
        <f>+(P54-P49)/COUNT(B50:B54)+P50</f>
        <v>38841.06140161276</v>
      </c>
      <c r="Q51" s="115">
        <f>+(Q54-Q49)/COUNT(B50:B54)+Q50</f>
        <v>31072.849121290204</v>
      </c>
      <c r="R51" s="115">
        <f>+(R54-R49)/COUNT(B50:B54)+R50</f>
        <v>7768.212280322551</v>
      </c>
      <c r="S51" s="116">
        <f>+(S54-S49)/COUNT(B50:B54)+S50</f>
        <v>7768.212280322551</v>
      </c>
      <c r="U51" s="100"/>
      <c r="V51" s="107">
        <f>+V50+1</f>
        <v>2037</v>
      </c>
      <c r="X51" s="107">
        <f>+X50*(1+'Input - Projection Parameters'!$AM$12)^'Input - Projection Parameters'!$F$19*(1+'Input - Projection Parameters'!$AM$8)^'Input - Projection Parameters'!$F$20</f>
        <v>0</v>
      </c>
      <c r="Y51" s="117">
        <f>+Y50*(1+'Input - Projection Parameters'!$AM$12)^'Input - Projection Parameters'!$F$19*(1+'Input - Projection Parameters'!$AM$8)^'Input - Projection Parameters'!$F$20</f>
        <v>146.03312597586495</v>
      </c>
      <c r="Z51" s="117">
        <f>+Z50*(1+'Input - Projection Parameters'!$AM$12)^'Input - Projection Parameters'!$F$19*(1+'Input - Projection Parameters'!$AM$8)^'Input - Projection Parameters'!$F$20</f>
        <v>182.5414074698312</v>
      </c>
      <c r="AA51" s="117">
        <f>+AA50*(1+'Input - Projection Parameters'!$AM$12)^'Input - Projection Parameters'!$F$19*(1+'Input - Projection Parameters'!$AM$8)^'Input - Projection Parameters'!$F$20</f>
        <v>164.2872667228481</v>
      </c>
      <c r="AB51" s="117">
        <f>+AB50*(1+'Input - Projection Parameters'!$AM$12)^'Input - Projection Parameters'!$F$19*(1+'Input - Projection Parameters'!$AM$8)^'Input - Projection Parameters'!$F$20</f>
        <v>152.11783955819268</v>
      </c>
      <c r="AC51" s="117">
        <f>+AC50*(1+'Input - Projection Parameters'!$AM$12)^'Input - Projection Parameters'!$F$19*(1+'Input - Projection Parameters'!$AM$8)^'Input - Projection Parameters'!$F$20</f>
        <v>97.35541731724342</v>
      </c>
      <c r="AD51" s="117">
        <f>+AD50*(1+'Input - Projection Parameters'!$AM$12)^'Input - Projection Parameters'!$F$19*(1+'Input - Projection Parameters'!$AM$8)^'Input - Projection Parameters'!$F$20</f>
        <v>60.84713582327704</v>
      </c>
      <c r="AE51" s="117">
        <f>+AE50*(1+'Input - Projection Parameters'!$AM$8)^'Input - Projection Parameters'!$F$20</f>
        <v>0</v>
      </c>
      <c r="AF51" s="117">
        <f>+AF50*(1+'Input - Projection Parameters'!$AM$8)^'Input - Projection Parameters'!$F$20</f>
        <v>294.8405690543625</v>
      </c>
      <c r="AG51" s="117">
        <f>+AG50*(1+'Input - Projection Parameters'!$AM$8)^'Input - Projection Parameters'!$F$20</f>
        <v>368.55071131795313</v>
      </c>
      <c r="AH51" s="117">
        <f>+AH50*(1+'Input - Projection Parameters'!$AM$8)^'Input - Projection Parameters'!$F$20</f>
        <v>257.9854979225673</v>
      </c>
      <c r="AI51" s="117">
        <f>+AI50*(1+'Input - Projection Parameters'!$AM$8)^'Input - Projection Parameters'!$F$20</f>
        <v>287.46955482800354</v>
      </c>
      <c r="AJ51" s="117">
        <f>+AJ50*(1+'Input - Projection Parameters'!$AM$8)^'Input - Projection Parameters'!$F$20</f>
        <v>103.19419916902694</v>
      </c>
      <c r="AK51" s="117">
        <f>+AK50*(1+'Input - Projection Parameters'!$AM$8)^'Input - Projection Parameters'!$F$20</f>
        <v>88.45217071630877</v>
      </c>
      <c r="AM51" s="107">
        <f>IF('Input - Projection Parameters'!A61=1,+Calculations!F51*Calculations!X51*365/1000/1000000,0)</f>
        <v>0</v>
      </c>
      <c r="AN51" s="120">
        <f>IF('Input - Projection Parameters'!$A$30=2,+Calculations!G51*Calculations!Y51*365/1000/1000000,0)</f>
        <v>14.49216852044345</v>
      </c>
      <c r="AO51" s="120">
        <f>IF('Input - Projection Parameters'!$A$30=2,+Calculations!H51*Calculations!Z51*365/1000/1000000,0)</f>
        <v>2.5878872357934726</v>
      </c>
      <c r="AP51" s="120">
        <f>IF('Input - Projection Parameters'!$A$30=2,+Calculations!I51*Calculations!AA51*365/1000/1000000,0)</f>
        <v>1.3974591073284754</v>
      </c>
      <c r="AQ51" s="120">
        <f>IF('Input - Projection Parameters'!$A$30=2,+Calculations!J51*Calculations!AB51*365/1000/1000000,0)</f>
        <v>0.8626290785978243</v>
      </c>
      <c r="AR51" s="120">
        <f>IF('Input - Projection Parameters'!$A$30=2,+Calculations!K51*Calculations!AC51*365/1000/1000000,0)</f>
        <v>0.27604130515130404</v>
      </c>
      <c r="AS51" s="120">
        <f>IF('Input - Projection Parameters'!$A$30=2,+Calculations!L51*Calculations!AD51*365/1000/1000000,0)</f>
        <v>0.690103262878259</v>
      </c>
      <c r="AT51" s="120">
        <f>IF('Input - Projection Parameters'!$A$30=1,+Calculations!M51*Calculations!AE51*365/1000/1000000,0)</f>
        <v>0</v>
      </c>
      <c r="AU51" s="120">
        <f>IF('Input - Projection Parameters'!$A$30=2,+Calculations!N51*Calculations!AF51*365/1000/1000000,0)</f>
        <v>29.259657251365336</v>
      </c>
      <c r="AV51" s="120">
        <f>IF('Input - Projection Parameters'!$A$30=2,+Calculations!O51*Calculations!AG51*365/1000/1000000,0)</f>
        <v>4.179951035909333</v>
      </c>
      <c r="AW51" s="120">
        <f>IF('Input - Projection Parameters'!$A$30=2,+Calculations!P51*Calculations!AH51*365/1000/1000000,0)</f>
        <v>3.6574571564206675</v>
      </c>
      <c r="AX51" s="120">
        <f>IF('Input - Projection Parameters'!$A$30=2,+Calculations!Q51*Calculations!AI51*365/1000/1000000,0)</f>
        <v>3.260361808009281</v>
      </c>
      <c r="AY51" s="120">
        <f>IF('Input - Projection Parameters'!$A$30=2,+Calculations!R51*Calculations!AJ51*365/1000/1000000,0)</f>
        <v>0.2925965725136535</v>
      </c>
      <c r="AZ51" s="120">
        <f>IF('Input - Projection Parameters'!$A$30=2,+Calculations!S51*Calculations!AK51*365/1000/1000000,0)</f>
        <v>0.25079706215456005</v>
      </c>
      <c r="BA51" s="130">
        <f t="shared" si="0"/>
        <v>61.20710939656562</v>
      </c>
    </row>
    <row r="52" spans="2:53" ht="12.75">
      <c r="B52" s="4">
        <f>+B51+1</f>
        <v>2038</v>
      </c>
      <c r="C52" s="111">
        <f>+C51*(1+'Input - Projection Parameters'!AN6)</f>
        <v>817219.7608984597</v>
      </c>
      <c r="D52" s="116"/>
      <c r="E52" s="111">
        <f>+(E54-E49)/COUNT(B50:B54)+E51</f>
        <v>790101.692463659</v>
      </c>
      <c r="F52" s="118">
        <f>+(F54-F49)/COUNT(B50:B54)+F51</f>
        <v>735591.4018570872</v>
      </c>
      <c r="G52" s="114">
        <f>+(G54-G49)/COUNT(B50:B54)+G51</f>
        <v>276535.59236228076</v>
      </c>
      <c r="H52" s="115">
        <f>+(H54-H49)/COUNT(B50:B54)+H51</f>
        <v>39505.08462318296</v>
      </c>
      <c r="I52" s="115">
        <f>+(I54-I49)/COUNT(B50:B54)+I51</f>
        <v>23703.050773909777</v>
      </c>
      <c r="J52" s="115">
        <f>+(J54-J49)/COUNT(B50:B54)+J51</f>
        <v>15802.03384927318</v>
      </c>
      <c r="K52" s="115">
        <f>+(K54-K49)/COUNT(B50:B54)+K51</f>
        <v>7901.01692463659</v>
      </c>
      <c r="L52" s="116">
        <f>+(L54-L49)/COUNT(B50:B54)+L51</f>
        <v>31604.06769854636</v>
      </c>
      <c r="M52" s="119">
        <f>+(M54-M49)/COUNT(B50:B54)+M51</f>
        <v>54423.50888155349</v>
      </c>
      <c r="N52" s="114">
        <f>+(N54-N49)/COUNT(B50:B54)+N51</f>
        <v>276535.59236228076</v>
      </c>
      <c r="O52" s="115">
        <f>+(O54-O49)/COUNT(B50:B54)+O51</f>
        <v>31604.06769854636</v>
      </c>
      <c r="P52" s="115">
        <f>+(P54-P49)/COUNT(B50:B54)+P51</f>
        <v>39505.08462318296</v>
      </c>
      <c r="Q52" s="115">
        <f>+(Q54-Q49)/COUNT(B50:B54)+Q51</f>
        <v>31604.06769854636</v>
      </c>
      <c r="R52" s="115">
        <f>+(R54-R49)/COUNT(B50:B54)+R51</f>
        <v>7901.01692463659</v>
      </c>
      <c r="S52" s="116">
        <f>+(S54-S49)/COUNT(B50:B54)+S51</f>
        <v>7901.01692463659</v>
      </c>
      <c r="U52" s="100"/>
      <c r="V52" s="107">
        <f>+V51+1</f>
        <v>2038</v>
      </c>
      <c r="X52" s="107">
        <f>+X51*(1+'Input - Projection Parameters'!$AN$12)^'Input - Projection Parameters'!$F$19*(1+'Input - Projection Parameters'!$AN$8)^'Input - Projection Parameters'!$F$20</f>
        <v>0</v>
      </c>
      <c r="Y52" s="117">
        <f>+Y51*(1+'Input - Projection Parameters'!$AN$12)^'Input - Projection Parameters'!$F$19*(1+'Input - Projection Parameters'!$AN$8)^'Input - Projection Parameters'!$F$20</f>
        <v>146.9710442655368</v>
      </c>
      <c r="Z52" s="117">
        <f>+Z51*(1+'Input - Projection Parameters'!$AN$12)^'Input - Projection Parameters'!$F$19*(1+'Input - Projection Parameters'!$AN$8)^'Input - Projection Parameters'!$F$20</f>
        <v>183.713805331921</v>
      </c>
      <c r="AA52" s="117">
        <f>+AA51*(1+'Input - Projection Parameters'!$AN$12)^'Input - Projection Parameters'!$F$19*(1+'Input - Projection Parameters'!$AN$8)^'Input - Projection Parameters'!$F$20</f>
        <v>165.34242479872893</v>
      </c>
      <c r="AB52" s="117">
        <f>+AB51*(1+'Input - Projection Parameters'!$AN$12)^'Input - Projection Parameters'!$F$19*(1+'Input - Projection Parameters'!$AN$8)^'Input - Projection Parameters'!$F$20</f>
        <v>153.09483777660085</v>
      </c>
      <c r="AC52" s="117">
        <f>+AC51*(1+'Input - Projection Parameters'!$AN$12)^'Input - Projection Parameters'!$F$19*(1+'Input - Projection Parameters'!$AN$8)^'Input - Projection Parameters'!$F$20</f>
        <v>97.98069617702465</v>
      </c>
      <c r="AD52" s="117">
        <f>+AD51*(1+'Input - Projection Parameters'!$AN$12)^'Input - Projection Parameters'!$F$19*(1+'Input - Projection Parameters'!$AN$8)^'Input - Projection Parameters'!$F$20</f>
        <v>61.237935110640315</v>
      </c>
      <c r="AE52" s="117">
        <f>+AE51*(1+'Input - Projection Parameters'!$AN$8)^'Input - Projection Parameters'!$F$20</f>
        <v>0</v>
      </c>
      <c r="AF52" s="117">
        <f>+AF51*(1+'Input - Projection Parameters'!$AN$8)^'Input - Projection Parameters'!$F$20</f>
        <v>298.59558131360427</v>
      </c>
      <c r="AG52" s="117">
        <f>+AG51*(1+'Input - Projection Parameters'!$AN$8)^'Input - Projection Parameters'!$F$20</f>
        <v>373.24447664200534</v>
      </c>
      <c r="AH52" s="117">
        <f>+AH51*(1+'Input - Projection Parameters'!$AN$8)^'Input - Projection Parameters'!$F$20</f>
        <v>261.2711336494038</v>
      </c>
      <c r="AI52" s="117">
        <f>+AI51*(1+'Input - Projection Parameters'!$AN$8)^'Input - Projection Parameters'!$F$20</f>
        <v>291.13069178076427</v>
      </c>
      <c r="AJ52" s="117">
        <f>+AJ51*(1+'Input - Projection Parameters'!$AN$8)^'Input - Projection Parameters'!$F$20</f>
        <v>104.50845345976155</v>
      </c>
      <c r="AK52" s="117">
        <f>+AK51*(1+'Input - Projection Parameters'!$AN$8)^'Input - Projection Parameters'!$F$20</f>
        <v>89.5786743940813</v>
      </c>
      <c r="AM52" s="107">
        <f>IF('Input - Projection Parameters'!A62=1,+Calculations!F52*Calculations!X52*365/1000/1000000,0)</f>
        <v>0</v>
      </c>
      <c r="AN52" s="120">
        <f>IF('Input - Projection Parameters'!$A$30=2,+Calculations!G52*Calculations!Y52*365/1000/1000000,0)</f>
        <v>14.834594546916717</v>
      </c>
      <c r="AO52" s="120">
        <f>IF('Input - Projection Parameters'!$A$30=2,+Calculations!H52*Calculations!Z52*365/1000/1000000,0)</f>
        <v>2.6490347405208423</v>
      </c>
      <c r="AP52" s="120">
        <f>IF('Input - Projection Parameters'!$A$30=2,+Calculations!I52*Calculations!AA52*365/1000/1000000,0)</f>
        <v>1.4304787598812554</v>
      </c>
      <c r="AQ52" s="120">
        <f>IF('Input - Projection Parameters'!$A$30=2,+Calculations!J52*Calculations!AB52*365/1000/1000000,0)</f>
        <v>0.8830115801736139</v>
      </c>
      <c r="AR52" s="120">
        <f>IF('Input - Projection Parameters'!$A$30=2,+Calculations!K52*Calculations!AC52*365/1000/1000000,0)</f>
        <v>0.28256370565555683</v>
      </c>
      <c r="AS52" s="120">
        <f>IF('Input - Projection Parameters'!$A$30=2,+Calculations!L52*Calculations!AD52*365/1000/1000000,0)</f>
        <v>0.706409264138891</v>
      </c>
      <c r="AT52" s="120">
        <f>IF('Input - Projection Parameters'!$A$30=1,+Calculations!M52*Calculations!AE52*365/1000/1000000,0)</f>
        <v>0</v>
      </c>
      <c r="AU52" s="120">
        <f>IF('Input - Projection Parameters'!$A$30=2,+Calculations!N52*Calculations!AF52*365/1000/1000000,0)</f>
        <v>30.13889167369075</v>
      </c>
      <c r="AV52" s="120">
        <f>IF('Input - Projection Parameters'!$A$30=2,+Calculations!O52*Calculations!AG52*365/1000/1000000,0)</f>
        <v>4.305555953384392</v>
      </c>
      <c r="AW52" s="120">
        <f>IF('Input - Projection Parameters'!$A$30=2,+Calculations!P52*Calculations!AH52*365/1000/1000000,0)</f>
        <v>3.767361459211344</v>
      </c>
      <c r="AX52" s="120">
        <f>IF('Input - Projection Parameters'!$A$30=2,+Calculations!Q52*Calculations!AI52*365/1000/1000000,0)</f>
        <v>3.358333643639827</v>
      </c>
      <c r="AY52" s="120">
        <f>IF('Input - Projection Parameters'!$A$30=2,+Calculations!R52*Calculations!AJ52*365/1000/1000000,0)</f>
        <v>0.3013889167369076</v>
      </c>
      <c r="AZ52" s="120">
        <f>IF('Input - Projection Parameters'!$A$30=2,+Calculations!S52*Calculations!AK52*365/1000/1000000,0)</f>
        <v>0.2583333572030636</v>
      </c>
      <c r="BA52" s="130">
        <f t="shared" si="0"/>
        <v>62.91595760115316</v>
      </c>
    </row>
    <row r="53" spans="2:53" ht="12.75">
      <c r="B53" s="4">
        <f>+B52+1</f>
        <v>2039</v>
      </c>
      <c r="C53" s="111">
        <f>+C52*(1+'Input - Projection Parameters'!AO6)</f>
        <v>829478.0573119365</v>
      </c>
      <c r="D53" s="116"/>
      <c r="E53" s="111">
        <f>+(E54-E49)/COUNT(B50:B54)+E52</f>
        <v>803382.1568950629</v>
      </c>
      <c r="F53" s="118">
        <f>+(F54-F49)/COUNT(B50:B54)+F52</f>
        <v>755710.4460586153</v>
      </c>
      <c r="G53" s="114">
        <f>+(G54-G49)/COUNT(B50:B54)+G52</f>
        <v>281183.75491327216</v>
      </c>
      <c r="H53" s="115">
        <f>+(H54-H49)/COUNT(B50:B54)+H52</f>
        <v>40169.107844753154</v>
      </c>
      <c r="I53" s="115">
        <f>+(I54-I49)/COUNT(B50:B54)+I52</f>
        <v>24101.464706851897</v>
      </c>
      <c r="J53" s="115">
        <f>+(J54-J49)/COUNT(B50:B54)+J52</f>
        <v>16067.64313790126</v>
      </c>
      <c r="K53" s="115">
        <f>+(K54-K49)/COUNT(B50:B54)+K52</f>
        <v>8033.82156895063</v>
      </c>
      <c r="L53" s="116">
        <f>+(L54-L49)/COUNT(B50:B54)+L52</f>
        <v>32135.28627580252</v>
      </c>
      <c r="M53" s="119">
        <f>+(M54-M49)/COUNT(B50:B54)+M52</f>
        <v>47212.28826390616</v>
      </c>
      <c r="N53" s="114">
        <f>+(N54-N49)/COUNT(B50:B54)+N52</f>
        <v>281183.75491327216</v>
      </c>
      <c r="O53" s="115">
        <f>+(O54-O49)/COUNT(B50:B54)+O52</f>
        <v>32135.28627580252</v>
      </c>
      <c r="P53" s="115">
        <f>+(P54-P49)/COUNT(B50:B54)+P52</f>
        <v>40169.107844753154</v>
      </c>
      <c r="Q53" s="115">
        <f>+(Q54-Q49)/COUNT(B50:B54)+Q52</f>
        <v>32135.28627580252</v>
      </c>
      <c r="R53" s="115">
        <f>+(R54-R49)/COUNT(B50:B54)+R52</f>
        <v>8033.82156895063</v>
      </c>
      <c r="S53" s="116">
        <f>+(S54-S49)/COUNT(B50:B54)+S52</f>
        <v>8033.82156895063</v>
      </c>
      <c r="U53" s="100"/>
      <c r="V53" s="107">
        <f>+V52+1</f>
        <v>2039</v>
      </c>
      <c r="X53" s="107">
        <f>+X52*(1+'Input - Projection Parameters'!$AO$12)^'Input - Projection Parameters'!$F$19*(1+'Input - Projection Parameters'!$AO$8)^'Input - Projection Parameters'!$F$20</f>
        <v>0</v>
      </c>
      <c r="Y53" s="117">
        <f>+Y52*(1+'Input - Projection Parameters'!$AO$12)^'Input - Projection Parameters'!$F$19*(1+'Input - Projection Parameters'!$AO$8)^'Input - Projection Parameters'!$F$20</f>
        <v>147.91498646733282</v>
      </c>
      <c r="Z53" s="117">
        <f>+Z52*(1+'Input - Projection Parameters'!$AO$12)^'Input - Projection Parameters'!$F$19*(1+'Input - Projection Parameters'!$AO$8)^'Input - Projection Parameters'!$F$20</f>
        <v>184.89373308416606</v>
      </c>
      <c r="AA53" s="117">
        <f>+AA52*(1+'Input - Projection Parameters'!$AO$12)^'Input - Projection Parameters'!$F$19*(1+'Input - Projection Parameters'!$AO$8)^'Input - Projection Parameters'!$F$20</f>
        <v>166.40435977574947</v>
      </c>
      <c r="AB53" s="117">
        <f>+AB52*(1+'Input - Projection Parameters'!$AO$12)^'Input - Projection Parameters'!$F$19*(1+'Input - Projection Parameters'!$AO$8)^'Input - Projection Parameters'!$F$20</f>
        <v>154.07811090347172</v>
      </c>
      <c r="AC53" s="117">
        <f>+AC52*(1+'Input - Projection Parameters'!$AO$12)^'Input - Projection Parameters'!$F$19*(1+'Input - Projection Parameters'!$AO$8)^'Input - Projection Parameters'!$F$20</f>
        <v>98.60999097822202</v>
      </c>
      <c r="AD53" s="117">
        <f>+AD52*(1+'Input - Projection Parameters'!$AO$12)^'Input - Projection Parameters'!$F$19*(1+'Input - Projection Parameters'!$AO$8)^'Input - Projection Parameters'!$F$20</f>
        <v>61.63124436138867</v>
      </c>
      <c r="AE53" s="117">
        <f>+AE52*(1+'Input - Projection Parameters'!$AO$8)^'Input - Projection Parameters'!$F$20</f>
        <v>0</v>
      </c>
      <c r="AF53" s="117">
        <f>+AF52*(1+'Input - Projection Parameters'!$AO$8)^'Input - Projection Parameters'!$F$20</f>
        <v>302.39841642542115</v>
      </c>
      <c r="AG53" s="117">
        <f>+AG52*(1+'Input - Projection Parameters'!$AO$8)^'Input - Projection Parameters'!$F$20</f>
        <v>377.99802053177643</v>
      </c>
      <c r="AH53" s="117">
        <f>+AH52*(1+'Input - Projection Parameters'!$AO$8)^'Input - Projection Parameters'!$F$20</f>
        <v>264.59861437224356</v>
      </c>
      <c r="AI53" s="117">
        <f>+AI52*(1+'Input - Projection Parameters'!$AO$8)^'Input - Projection Parameters'!$F$20</f>
        <v>294.8384560147857</v>
      </c>
      <c r="AJ53" s="117">
        <f>+AJ52*(1+'Input - Projection Parameters'!$AO$8)^'Input - Projection Parameters'!$F$20</f>
        <v>105.83944574889748</v>
      </c>
      <c r="AK53" s="117">
        <f>+AK52*(1+'Input - Projection Parameters'!$AO$8)^'Input - Projection Parameters'!$F$20</f>
        <v>90.71952492762637</v>
      </c>
      <c r="AM53" s="107">
        <f>IF('Input - Projection Parameters'!A63=1,+Calculations!F53*Calculations!X53*365/1000/1000000,0)</f>
        <v>0</v>
      </c>
      <c r="AN53" s="120">
        <f>IF('Input - Projection Parameters'!$A$30=2,+Calculations!G53*Calculations!Y53*365/1000/1000000,0)</f>
        <v>15.180821325533126</v>
      </c>
      <c r="AO53" s="120">
        <f>IF('Input - Projection Parameters'!$A$30=2,+Calculations!H53*Calculations!Z53*365/1000/1000000,0)</f>
        <v>2.710860950988058</v>
      </c>
      <c r="AP53" s="120">
        <f>IF('Input - Projection Parameters'!$A$30=2,+Calculations!I53*Calculations!AA53*365/1000/1000000,0)</f>
        <v>1.4638649135335515</v>
      </c>
      <c r="AQ53" s="120">
        <f>IF('Input - Projection Parameters'!$A$30=2,+Calculations!J53*Calculations!AB53*365/1000/1000000,0)</f>
        <v>0.9036203169960191</v>
      </c>
      <c r="AR53" s="120">
        <f>IF('Input - Projection Parameters'!$A$30=2,+Calculations!K53*Calculations!AC53*365/1000/1000000,0)</f>
        <v>0.2891585014387265</v>
      </c>
      <c r="AS53" s="120">
        <f>IF('Input - Projection Parameters'!$A$30=2,+Calculations!L53*Calculations!AD53*365/1000/1000000,0)</f>
        <v>0.7228962535968152</v>
      </c>
      <c r="AT53" s="120">
        <f>IF('Input - Projection Parameters'!$A$30=1,+Calculations!M53*Calculations!AE53*365/1000/1000000,0)</f>
        <v>0</v>
      </c>
      <c r="AU53" s="120">
        <f>IF('Input - Projection Parameters'!$A$30=2,+Calculations!N53*Calculations!AF53*365/1000/1000000,0)</f>
        <v>31.03577560676944</v>
      </c>
      <c r="AV53" s="120">
        <f>IF('Input - Projection Parameters'!$A$30=2,+Calculations!O53*Calculations!AG53*365/1000/1000000,0)</f>
        <v>4.433682229538489</v>
      </c>
      <c r="AW53" s="120">
        <f>IF('Input - Projection Parameters'!$A$30=2,+Calculations!P53*Calculations!AH53*365/1000/1000000,0)</f>
        <v>3.8794719508461792</v>
      </c>
      <c r="AX53" s="120">
        <f>IF('Input - Projection Parameters'!$A$30=2,+Calculations!Q53*Calculations!AI53*365/1000/1000000,0)</f>
        <v>3.4582721390400235</v>
      </c>
      <c r="AY53" s="120">
        <f>IF('Input - Projection Parameters'!$A$30=2,+Calculations!R53*Calculations!AJ53*365/1000/1000000,0)</f>
        <v>0.3103577560676945</v>
      </c>
      <c r="AZ53" s="120">
        <f>IF('Input - Projection Parameters'!$A$30=2,+Calculations!S53*Calculations!AK53*365/1000/1000000,0)</f>
        <v>0.26602093377230945</v>
      </c>
      <c r="BA53" s="130">
        <f t="shared" si="0"/>
        <v>64.65480287812044</v>
      </c>
    </row>
    <row r="54" spans="2:53" ht="12.75">
      <c r="B54" s="4">
        <f>+B53+1</f>
        <v>2040</v>
      </c>
      <c r="C54" s="111">
        <f>+C53*(1+'Input - Projection Parameters'!AP6)</f>
        <v>841920.2281716155</v>
      </c>
      <c r="D54" s="116"/>
      <c r="E54" s="111">
        <f>+C54*'Input - Projection Parameters'!F71</f>
        <v>816662.621326467</v>
      </c>
      <c r="F54" s="118">
        <f>+E54*'Input - Projection Parameters'!L82</f>
        <v>775829.4902601436</v>
      </c>
      <c r="G54" s="114">
        <f>+E54*'Input - Projection Parameters'!L85</f>
        <v>285831.91746426345</v>
      </c>
      <c r="H54" s="115">
        <f>+E54*'Input - Projection Parameters'!L86</f>
        <v>40833.13106632335</v>
      </c>
      <c r="I54" s="115">
        <f>+E54*'Input - Projection Parameters'!L87</f>
        <v>24499.87863979401</v>
      </c>
      <c r="J54" s="115">
        <f>+E54*'Input - Projection Parameters'!L88</f>
        <v>16333.252426529341</v>
      </c>
      <c r="K54" s="115">
        <f>+E54*'Input - Projection Parameters'!L89</f>
        <v>8166.626213264671</v>
      </c>
      <c r="L54" s="116">
        <f>+E54*'Input - Projection Parameters'!L90</f>
        <v>32666.504853058683</v>
      </c>
      <c r="M54" s="119">
        <f>+C54*'Input - Projection Parameters'!L92</f>
        <v>42096.01140858078</v>
      </c>
      <c r="N54" s="114">
        <f>+E54*'Input - Projection Parameters'!L94</f>
        <v>285831.91746426345</v>
      </c>
      <c r="O54" s="115">
        <f>+E54*'Input - Projection Parameters'!L95</f>
        <v>32666.504853058683</v>
      </c>
      <c r="P54" s="115">
        <f>+E54*'Input - Projection Parameters'!L96</f>
        <v>40833.13106632335</v>
      </c>
      <c r="Q54" s="115">
        <f>+E54*'Input - Projection Parameters'!L97</f>
        <v>32666.504853058683</v>
      </c>
      <c r="R54" s="115">
        <f>+E54*'Input - Projection Parameters'!L98</f>
        <v>8166.626213264671</v>
      </c>
      <c r="S54" s="116">
        <f>+E54*'Input - Projection Parameters'!L99</f>
        <v>8166.626213264671</v>
      </c>
      <c r="U54" s="100"/>
      <c r="V54" s="107">
        <f>+V53+1</f>
        <v>2040</v>
      </c>
      <c r="X54" s="107">
        <f>+X53*(1+'Input - Projection Parameters'!$AP$12)^'Input - Projection Parameters'!$F$19*(1+'Input - Projection Parameters'!$AP$8)^'Input - Projection Parameters'!$F$20</f>
        <v>0</v>
      </c>
      <c r="Y54" s="117">
        <f>+Y53*(1+'Input - Projection Parameters'!$AP$12)^'Input - Projection Parameters'!$F$19*(1+'Input - Projection Parameters'!$AP$8)^'Input - Projection Parameters'!$F$20</f>
        <v>148.8649912706759</v>
      </c>
      <c r="Z54" s="117">
        <f>+Z53*(1+'Input - Projection Parameters'!$AP$12)^'Input - Projection Parameters'!$F$19*(1+'Input - Projection Parameters'!$AP$8)^'Input - Projection Parameters'!$F$20</f>
        <v>186.0812390883449</v>
      </c>
      <c r="AA54" s="117">
        <f>+AA53*(1+'Input - Projection Parameters'!$AP$12)^'Input - Projection Parameters'!$F$19*(1+'Input - Projection Parameters'!$AP$8)^'Input - Projection Parameters'!$F$20</f>
        <v>167.47311517951042</v>
      </c>
      <c r="AB54" s="117">
        <f>+AB53*(1+'Input - Projection Parameters'!$AP$12)^'Input - Projection Parameters'!$F$19*(1+'Input - Projection Parameters'!$AP$8)^'Input - Projection Parameters'!$F$20</f>
        <v>155.06769924028742</v>
      </c>
      <c r="AC54" s="117">
        <f>+AC53*(1+'Input - Projection Parameters'!$AP$12)^'Input - Projection Parameters'!$F$19*(1+'Input - Projection Parameters'!$AP$8)^'Input - Projection Parameters'!$F$20</f>
        <v>99.24332751378405</v>
      </c>
      <c r="AD54" s="117">
        <f>+AD53*(1+'Input - Projection Parameters'!$AP$12)^'Input - Projection Parameters'!$F$19*(1+'Input - Projection Parameters'!$AP$8)^'Input - Projection Parameters'!$F$20</f>
        <v>62.027079696114946</v>
      </c>
      <c r="AE54" s="117">
        <f>+AE53*(1+'Input - Projection Parameters'!$AP$8)^'Input - Projection Parameters'!$F$20</f>
        <v>0</v>
      </c>
      <c r="AF54" s="117">
        <f>+AF53*(1+'Input - Projection Parameters'!$AP$8)^'Input - Projection Parameters'!$F$20</f>
        <v>306.24968344913725</v>
      </c>
      <c r="AG54" s="117">
        <f>+AG53*(1+'Input - Projection Parameters'!$AP$8)^'Input - Projection Parameters'!$F$20</f>
        <v>382.81210431142154</v>
      </c>
      <c r="AH54" s="117">
        <f>+AH53*(1+'Input - Projection Parameters'!$AP$8)^'Input - Projection Parameters'!$F$20</f>
        <v>267.9684730179951</v>
      </c>
      <c r="AI54" s="117">
        <f>+AI53*(1+'Input - Projection Parameters'!$AP$8)^'Input - Projection Parameters'!$F$20</f>
        <v>298.5934413629089</v>
      </c>
      <c r="AJ54" s="117">
        <f>+AJ53*(1+'Input - Projection Parameters'!$AP$8)^'Input - Projection Parameters'!$F$20</f>
        <v>107.18738920719811</v>
      </c>
      <c r="AK54" s="117">
        <f>+AK53*(1+'Input - Projection Parameters'!$AP$8)^'Input - Projection Parameters'!$F$20</f>
        <v>91.87490503474119</v>
      </c>
      <c r="AM54" s="107">
        <f>IF('Input - Projection Parameters'!A64=1,+Calculations!F54*Calculations!X54*365/1000/1000000,0)</f>
        <v>0</v>
      </c>
      <c r="AN54" s="120">
        <f>IF('Input - Projection Parameters'!$A$30=2,+Calculations!G54*Calculations!Y54*365/1000/1000000,0)</f>
        <v>15.530883552842315</v>
      </c>
      <c r="AO54" s="120">
        <f>IF('Input - Projection Parameters'!$A$30=2,+Calculations!H54*Calculations!Z54*365/1000/1000000,0)</f>
        <v>2.773372063007557</v>
      </c>
      <c r="AP54" s="120">
        <f>IF('Input - Projection Parameters'!$A$30=2,+Calculations!I54*Calculations!AA54*365/1000/1000000,0)</f>
        <v>1.497620914024081</v>
      </c>
      <c r="AQ54" s="120">
        <f>IF('Input - Projection Parameters'!$A$30=2,+Calculations!J54*Calculations!AB54*365/1000/1000000,0)</f>
        <v>0.9244573543358525</v>
      </c>
      <c r="AR54" s="120">
        <f>IF('Input - Projection Parameters'!$A$30=2,+Calculations!K54*Calculations!AC54*365/1000/1000000,0)</f>
        <v>0.2958263533874731</v>
      </c>
      <c r="AS54" s="120">
        <f>IF('Input - Projection Parameters'!$A$30=2,+Calculations!L54*Calculations!AD54*365/1000/1000000,0)</f>
        <v>0.7395658834686817</v>
      </c>
      <c r="AT54" s="120">
        <f>IF('Input - Projection Parameters'!$A$30=1,+Calculations!M54*Calculations!AE54*365/1000/1000000,0)</f>
        <v>0</v>
      </c>
      <c r="AU54" s="120">
        <f>IF('Input - Projection Parameters'!$A$30=2,+Calculations!N54*Calculations!AF54*365/1000/1000000,0)</f>
        <v>31.950615998728072</v>
      </c>
      <c r="AV54" s="120">
        <f>IF('Input - Projection Parameters'!$A$30=2,+Calculations!O54*Calculations!AG54*365/1000/1000000,0)</f>
        <v>4.56437371410401</v>
      </c>
      <c r="AW54" s="120">
        <f>IF('Input - Projection Parameters'!$A$30=2,+Calculations!P54*Calculations!AH54*365/1000/1000000,0)</f>
        <v>3.9938269998410094</v>
      </c>
      <c r="AX54" s="120">
        <f>IF('Input - Projection Parameters'!$A$30=2,+Calculations!Q54*Calculations!AI54*365/1000/1000000,0)</f>
        <v>3.5602114970011294</v>
      </c>
      <c r="AY54" s="120">
        <f>IF('Input - Projection Parameters'!$A$30=2,+Calculations!R54*Calculations!AJ54*365/1000/1000000,0)</f>
        <v>0.31950615998728094</v>
      </c>
      <c r="AZ54" s="120">
        <f>IF('Input - Projection Parameters'!$A$30=2,+Calculations!S54*Calculations!AK54*365/1000/1000000,0)</f>
        <v>0.2738624228462407</v>
      </c>
      <c r="BA54" s="130">
        <f t="shared" si="0"/>
        <v>66.4241229135737</v>
      </c>
    </row>
    <row r="55" spans="2:39" ht="12.75">
      <c r="B55" s="7"/>
      <c r="C55" s="112"/>
      <c r="D55" s="9"/>
      <c r="E55" s="112"/>
      <c r="F55" s="42"/>
      <c r="G55" s="7"/>
      <c r="H55" s="8"/>
      <c r="I55" s="8"/>
      <c r="J55" s="8"/>
      <c r="K55" s="8"/>
      <c r="L55" s="9"/>
      <c r="M55" s="43"/>
      <c r="N55" s="7"/>
      <c r="O55" s="8"/>
      <c r="P55" s="8"/>
      <c r="Q55" s="8"/>
      <c r="R55" s="8"/>
      <c r="S55" s="9"/>
      <c r="V55" s="108"/>
      <c r="X55" s="108"/>
      <c r="AM55" s="108"/>
    </row>
    <row r="57" spans="2:10" ht="12.75">
      <c r="B57" s="37"/>
      <c r="C57" s="38"/>
      <c r="D57" s="38"/>
      <c r="E57" s="38"/>
      <c r="F57" s="38"/>
      <c r="G57" s="38"/>
      <c r="H57" s="38"/>
      <c r="I57" s="38"/>
      <c r="J57" s="39"/>
    </row>
    <row r="58" spans="2:10" ht="12.75">
      <c r="B58" s="105" t="s">
        <v>109</v>
      </c>
      <c r="C58" s="40"/>
      <c r="D58" s="40"/>
      <c r="E58" s="40"/>
      <c r="F58" s="40"/>
      <c r="G58" s="40"/>
      <c r="H58" s="40"/>
      <c r="I58" s="40"/>
      <c r="J58" s="41"/>
    </row>
    <row r="59" spans="2:10" ht="12.75">
      <c r="B59" s="42"/>
      <c r="C59" s="43"/>
      <c r="D59" s="43"/>
      <c r="E59" s="43"/>
      <c r="F59" s="43"/>
      <c r="G59" s="43"/>
      <c r="H59" s="43"/>
      <c r="I59" s="43"/>
      <c r="J59" s="44"/>
    </row>
    <row r="60" spans="2:10" ht="12.75">
      <c r="B60" s="1"/>
      <c r="C60" s="2"/>
      <c r="D60" s="2"/>
      <c r="E60" s="2"/>
      <c r="F60" s="2"/>
      <c r="G60" s="2"/>
      <c r="H60" s="2"/>
      <c r="I60" s="2"/>
      <c r="J60" s="3"/>
    </row>
    <row r="61" spans="2:10" ht="12.75">
      <c r="B61" s="4"/>
      <c r="C61" s="5" t="str">
        <f>IF('Input - Projection Parameters'!A126=1,"Unaccounted for Water","Technical Losses")</f>
        <v>Technical Losses</v>
      </c>
      <c r="D61" s="5" t="str">
        <f>IF('Input - Projection Parameters'!A126=1,"Unaccounted for Water","Non Technical Losses")</f>
        <v>Non Technical Losses</v>
      </c>
      <c r="E61" s="5"/>
      <c r="F61" s="5" t="s">
        <v>83</v>
      </c>
      <c r="G61" s="5" t="s">
        <v>95</v>
      </c>
      <c r="H61" s="5"/>
      <c r="I61" s="5" t="s">
        <v>110</v>
      </c>
      <c r="J61" s="6"/>
    </row>
    <row r="62" spans="2:10" ht="12.75">
      <c r="B62" s="4"/>
      <c r="C62" s="5"/>
      <c r="D62" s="5"/>
      <c r="E62" s="5"/>
      <c r="F62" s="5"/>
      <c r="G62" s="5"/>
      <c r="H62" s="5"/>
      <c r="I62" s="5" t="s">
        <v>0</v>
      </c>
      <c r="J62" s="6" t="s">
        <v>111</v>
      </c>
    </row>
    <row r="63" spans="2:10" ht="12.75">
      <c r="B63" s="4"/>
      <c r="C63" s="5"/>
      <c r="D63" s="5"/>
      <c r="E63" s="5"/>
      <c r="F63" s="5"/>
      <c r="G63" s="5"/>
      <c r="H63" s="5"/>
      <c r="I63" s="5"/>
      <c r="J63" s="6"/>
    </row>
    <row r="64" spans="2:10" ht="12.75">
      <c r="B64" s="4">
        <f aca="true" t="shared" si="3" ref="B64:B103">+B15</f>
        <v>2001</v>
      </c>
      <c r="C64" s="5">
        <f>IF(B64='Input - Existing Situation'!$G$3,+'Input - Projection Parameters'!$F$123,0)/100</f>
        <v>0</v>
      </c>
      <c r="D64" s="5"/>
      <c r="E64" s="5"/>
      <c r="F64" s="5"/>
      <c r="G64" s="5"/>
      <c r="H64" s="5"/>
      <c r="I64" s="5"/>
      <c r="J64" s="6"/>
    </row>
    <row r="65" spans="2:10" ht="12.75">
      <c r="B65" s="4">
        <f t="shared" si="3"/>
        <v>2002</v>
      </c>
      <c r="C65" s="77">
        <f>IF(B65='Input - Existing Situation'!$G$3,+'Input - Projection Parameters'!$F$123,0)/100</f>
        <v>0</v>
      </c>
      <c r="D65" s="5"/>
      <c r="E65" s="5"/>
      <c r="F65" s="5"/>
      <c r="G65" s="5"/>
      <c r="H65" s="5"/>
      <c r="I65" s="5"/>
      <c r="J65" s="6"/>
    </row>
    <row r="66" spans="2:10" ht="12.75">
      <c r="B66" s="4">
        <f t="shared" si="3"/>
        <v>2003</v>
      </c>
      <c r="C66" s="77">
        <f>IF(B66='Input - Existing Situation'!$G$3,+'Input - Projection Parameters'!$F$123,0)/100</f>
        <v>0</v>
      </c>
      <c r="D66" s="5"/>
      <c r="E66" s="5"/>
      <c r="F66" s="5"/>
      <c r="G66" s="5"/>
      <c r="H66" s="5"/>
      <c r="I66" s="5"/>
      <c r="J66" s="6"/>
    </row>
    <row r="67" spans="2:10" ht="12.75">
      <c r="B67" s="4">
        <f t="shared" si="3"/>
        <v>2004</v>
      </c>
      <c r="C67" s="77">
        <f>IF(B67='Input - Existing Situation'!$G$3,+'Input - Projection Parameters'!$F$123,0)/100</f>
        <v>0</v>
      </c>
      <c r="D67" s="5"/>
      <c r="E67" s="5"/>
      <c r="F67" s="5"/>
      <c r="G67" s="5"/>
      <c r="H67" s="5"/>
      <c r="I67" s="5"/>
      <c r="J67" s="6"/>
    </row>
    <row r="68" spans="2:10" ht="12.75">
      <c r="B68" s="4">
        <f t="shared" si="3"/>
        <v>2005</v>
      </c>
      <c r="C68" s="77">
        <f>IF(B68='Input - Existing Situation'!$G$3,+'Input - Projection Parameters'!$F$123,0)/100</f>
        <v>0</v>
      </c>
      <c r="D68" s="5"/>
      <c r="E68" s="5"/>
      <c r="F68" s="5"/>
      <c r="G68" s="5"/>
      <c r="H68" s="5"/>
      <c r="I68" s="5"/>
      <c r="J68" s="6"/>
    </row>
    <row r="69" spans="2:10" ht="12.75">
      <c r="B69" s="4">
        <f t="shared" si="3"/>
        <v>2006</v>
      </c>
      <c r="C69" s="77">
        <f>+'Input - Projection Parameters'!F134</f>
        <v>0.2</v>
      </c>
      <c r="D69" s="5">
        <f>+'Input - Projection Parameters'!G134</f>
        <v>0.15</v>
      </c>
      <c r="E69" s="5"/>
      <c r="F69" s="93">
        <f>+'Input - Projection Parameters'!E185</f>
        <v>0.6</v>
      </c>
      <c r="G69" s="93">
        <f>+'Input - Projection Parameters'!E174</f>
        <v>0.85</v>
      </c>
      <c r="H69" s="5"/>
      <c r="I69" s="5">
        <f>+'Input - Projection Parameters'!F206</f>
        <v>45</v>
      </c>
      <c r="J69" s="6">
        <f>+'Input - Projection Parameters'!H206</f>
        <v>200</v>
      </c>
    </row>
    <row r="70" spans="2:10" ht="12.75">
      <c r="B70" s="4">
        <f t="shared" si="3"/>
        <v>2007</v>
      </c>
      <c r="C70" s="93">
        <f>+(C73-C69)/COUNT(B70:B73)+C69</f>
        <v>0.2</v>
      </c>
      <c r="D70" s="93">
        <f>+(D73-D69)/COUNT(B70:B73)+D69</f>
        <v>0.175</v>
      </c>
      <c r="E70" s="5"/>
      <c r="F70" s="93">
        <f>+(F73-F69)/COUNT(B70:B73)+F69</f>
        <v>0.575</v>
      </c>
      <c r="G70" s="93">
        <f>+(G73-G69)/COUNT(B70:B73)+G69</f>
        <v>0.8625</v>
      </c>
      <c r="H70" s="5"/>
      <c r="I70" s="171">
        <f>+(I73-I69)/COUNT(B70:B73)+I69</f>
        <v>46.25</v>
      </c>
      <c r="J70" s="172">
        <f>+(J73-J69)/COUNT(B70:B73)+J69</f>
        <v>200</v>
      </c>
    </row>
    <row r="71" spans="2:10" ht="12.75">
      <c r="B71" s="4">
        <f t="shared" si="3"/>
        <v>2008</v>
      </c>
      <c r="C71" s="158">
        <f>+(C73-C69)/COUNT(B70:B73)+C70</f>
        <v>0.2</v>
      </c>
      <c r="D71" s="158">
        <f>+(D73-D69)/COUNT(B70:B73)+D70</f>
        <v>0.19999999999999998</v>
      </c>
      <c r="E71" s="5"/>
      <c r="F71" s="158">
        <f>+(F73-F69)/COUNT(B70:B73)+F70</f>
        <v>0.5499999999999999</v>
      </c>
      <c r="G71" s="158">
        <f>+(G73-G69)/COUNT(B70:B73)+G70</f>
        <v>0.875</v>
      </c>
      <c r="H71" s="5"/>
      <c r="I71" s="171">
        <f>+(I73-I69)/COUNT(B70:B73)+I70</f>
        <v>47.5</v>
      </c>
      <c r="J71" s="172">
        <f>+(J73-J69)/COUNT(B70:B73)+J70</f>
        <v>200</v>
      </c>
    </row>
    <row r="72" spans="2:10" ht="12.75">
      <c r="B72" s="4">
        <f t="shared" si="3"/>
        <v>2009</v>
      </c>
      <c r="C72" s="158">
        <f>+(C73-C69)/COUNT(B70:B73)+C71</f>
        <v>0.2</v>
      </c>
      <c r="D72" s="158">
        <f>+(D73-D69)/COUNT(B70:B73)+D71</f>
        <v>0.22499999999999998</v>
      </c>
      <c r="E72" s="5"/>
      <c r="F72" s="158">
        <f>+(F73-F69)/COUNT(B70:B73)+F71</f>
        <v>0.5249999999999999</v>
      </c>
      <c r="G72" s="158">
        <f>+(G73-G69)/COUNT(B70:B73)+G71</f>
        <v>0.8875</v>
      </c>
      <c r="H72" s="5"/>
      <c r="I72" s="171">
        <f>+(I73-I69)/COUNT(B70:B73)+I71</f>
        <v>48.75</v>
      </c>
      <c r="J72" s="172">
        <f>+(J73-J69)/COUNT(B70:B73)+J71</f>
        <v>200</v>
      </c>
    </row>
    <row r="73" spans="2:10" ht="12.75">
      <c r="B73" s="4">
        <f t="shared" si="3"/>
        <v>2010</v>
      </c>
      <c r="C73" s="93">
        <f>+'Input - Projection Parameters'!F135</f>
        <v>0.2</v>
      </c>
      <c r="D73" s="93">
        <f>+'Input - Projection Parameters'!G135</f>
        <v>0.25</v>
      </c>
      <c r="E73" s="5"/>
      <c r="F73" s="93">
        <f>+'Input - Projection Parameters'!E186</f>
        <v>0.5</v>
      </c>
      <c r="G73" s="93">
        <f>+'Input - Projection Parameters'!E175</f>
        <v>0.9</v>
      </c>
      <c r="H73" s="5"/>
      <c r="I73" s="5">
        <f>+'Input - Projection Parameters'!F207</f>
        <v>50</v>
      </c>
      <c r="J73" s="6">
        <f>+'Input - Projection Parameters'!H207</f>
        <v>200</v>
      </c>
    </row>
    <row r="74" spans="2:10" ht="12.75">
      <c r="B74" s="4">
        <f t="shared" si="3"/>
        <v>2011</v>
      </c>
      <c r="C74" s="158">
        <f>+(C78-C73)/COUNT(B74:B78)+C73</f>
        <v>0.19</v>
      </c>
      <c r="D74" s="158">
        <f>+(D78-D73)/COUNT(B74:B78)+D73</f>
        <v>0.24</v>
      </c>
      <c r="E74" s="158"/>
      <c r="F74" s="158">
        <f>+(F78-F73)/COUNT(B74:B78)+F73</f>
        <v>0.48</v>
      </c>
      <c r="G74" s="158">
        <f>+(G78-G73)/COUNT(B74:B78)+G73</f>
        <v>0.91</v>
      </c>
      <c r="H74" s="5"/>
      <c r="I74" s="115">
        <f>+(I78-I73)/COUNT(B74:B78)+I73</f>
        <v>51</v>
      </c>
      <c r="J74" s="116">
        <f>+(J78-J73)/COUNT(B74:B78)+J73</f>
        <v>200</v>
      </c>
    </row>
    <row r="75" spans="2:10" ht="12.75">
      <c r="B75" s="4">
        <f t="shared" si="3"/>
        <v>2012</v>
      </c>
      <c r="C75" s="158">
        <f>+(C78-C73)/COUNT(B74:B78)+C74</f>
        <v>0.18</v>
      </c>
      <c r="D75" s="158">
        <f>+(D78-D73)/COUNT(B74:B78)+D74</f>
        <v>0.22999999999999998</v>
      </c>
      <c r="E75" s="158"/>
      <c r="F75" s="158">
        <f>+(F78-F73)/COUNT(B74:B78)+F74</f>
        <v>0.45999999999999996</v>
      </c>
      <c r="G75" s="158">
        <f>+(G78-G73)/COUNT(B74:B78)+G74</f>
        <v>0.92</v>
      </c>
      <c r="H75" s="5"/>
      <c r="I75" s="115">
        <f>+(I78-I73)/COUNT(B74:B78)+I74</f>
        <v>52</v>
      </c>
      <c r="J75" s="116">
        <f>+(J78-J73)/COUNT(B74:B78)+J74</f>
        <v>200</v>
      </c>
    </row>
    <row r="76" spans="2:10" ht="12.75">
      <c r="B76" s="4">
        <f t="shared" si="3"/>
        <v>2013</v>
      </c>
      <c r="C76" s="158">
        <f>+(C78-C73)/COUNT(B74:B78)+C75</f>
        <v>0.16999999999999998</v>
      </c>
      <c r="D76" s="158">
        <f>+(D78-D73)/COUNT(B74:B78)+D75</f>
        <v>0.21999999999999997</v>
      </c>
      <c r="E76" s="158"/>
      <c r="F76" s="158">
        <f>+(F78-F73)/COUNT(B74:B78)+F75</f>
        <v>0.43999999999999995</v>
      </c>
      <c r="G76" s="158">
        <f>+(G78-G73)/COUNT(B74:B78)+G75</f>
        <v>0.93</v>
      </c>
      <c r="H76" s="5"/>
      <c r="I76" s="115">
        <f>+(I78-I73)/COUNT(B74:B78)+I75</f>
        <v>53</v>
      </c>
      <c r="J76" s="116">
        <f>+(J78-J73)/COUNT(B74:B78)+J75</f>
        <v>200</v>
      </c>
    </row>
    <row r="77" spans="2:10" ht="12.75">
      <c r="B77" s="4">
        <f t="shared" si="3"/>
        <v>2014</v>
      </c>
      <c r="C77" s="158">
        <f>+(C78-C73)/COUNT(B74:B78)+C76</f>
        <v>0.15999999999999998</v>
      </c>
      <c r="D77" s="158">
        <f>+(D78-D73)/COUNT(B74:B78)+D76</f>
        <v>0.20999999999999996</v>
      </c>
      <c r="E77" s="158"/>
      <c r="F77" s="158">
        <f>+(F78-F73)/COUNT(B74:B78)+F76</f>
        <v>0.41999999999999993</v>
      </c>
      <c r="G77" s="158">
        <f>+(G78-G73)/COUNT(B74:B78)+G76</f>
        <v>0.9400000000000001</v>
      </c>
      <c r="H77" s="5"/>
      <c r="I77" s="115">
        <f>+(I78-I73)/COUNT(B74:B78)+I76</f>
        <v>54</v>
      </c>
      <c r="J77" s="116">
        <f>+(J78-J73)/COUNT(B74:B78)+J76</f>
        <v>200</v>
      </c>
    </row>
    <row r="78" spans="2:10" ht="12.75">
      <c r="B78" s="4">
        <f t="shared" si="3"/>
        <v>2015</v>
      </c>
      <c r="C78" s="93">
        <f>+'Input - Projection Parameters'!F136</f>
        <v>0.15</v>
      </c>
      <c r="D78" s="93">
        <f>+'Input - Projection Parameters'!G136</f>
        <v>0.2</v>
      </c>
      <c r="E78" s="5"/>
      <c r="F78" s="93">
        <f>+'Input - Projection Parameters'!E187</f>
        <v>0.4</v>
      </c>
      <c r="G78" s="93">
        <f>+'Input - Projection Parameters'!E176</f>
        <v>0.95</v>
      </c>
      <c r="H78" s="5"/>
      <c r="I78" s="5">
        <f>+'Input - Projection Parameters'!F208</f>
        <v>55</v>
      </c>
      <c r="J78" s="6">
        <f>+'Input - Projection Parameters'!H208</f>
        <v>200</v>
      </c>
    </row>
    <row r="79" spans="2:10" ht="12.75">
      <c r="B79" s="4">
        <f t="shared" si="3"/>
        <v>2016</v>
      </c>
      <c r="C79" s="158">
        <f>+(C83-C78)/COUNT(B79:B83)+C78</f>
        <v>0.152</v>
      </c>
      <c r="D79" s="158">
        <f>+(D83-D78)/COUNT(B79:B83)+D78</f>
        <v>0.19</v>
      </c>
      <c r="E79" s="5"/>
      <c r="F79" s="158">
        <f>+(F83-F78)/COUNT(B79:B83)+F78</f>
        <v>0.4</v>
      </c>
      <c r="G79" s="158">
        <f>+(G83-G78)/COUNT(B79:B83)+G78</f>
        <v>0.952</v>
      </c>
      <c r="H79" s="5"/>
      <c r="I79" s="115">
        <f>+(I83-I78)/COUNT(B79:B83)+I78</f>
        <v>56</v>
      </c>
      <c r="J79" s="116">
        <f>+(J83-J78)/COUNT(B79:B83)+J78</f>
        <v>200</v>
      </c>
    </row>
    <row r="80" spans="2:10" ht="12.75">
      <c r="B80" s="4">
        <f t="shared" si="3"/>
        <v>2017</v>
      </c>
      <c r="C80" s="158">
        <f>+(C83-C78)/COUNT(B79:B83)+C79</f>
        <v>0.154</v>
      </c>
      <c r="D80" s="158">
        <f>+(D83-D78)/COUNT(B79:B83)+D79</f>
        <v>0.18</v>
      </c>
      <c r="E80" s="5"/>
      <c r="F80" s="158">
        <f>+(F83-F78)/COUNT(B79:B83)+F79</f>
        <v>0.4</v>
      </c>
      <c r="G80" s="158">
        <f>+(G83-G78)/COUNT(B79:B83)+G79</f>
        <v>0.954</v>
      </c>
      <c r="H80" s="5"/>
      <c r="I80" s="115">
        <f>+(I83-I78)/COUNT(B79:B83)+I79</f>
        <v>57</v>
      </c>
      <c r="J80" s="116">
        <f>+(J83-J78)/COUNT(B79:B83)+J79</f>
        <v>200</v>
      </c>
    </row>
    <row r="81" spans="2:10" ht="12.75">
      <c r="B81" s="4">
        <f t="shared" si="3"/>
        <v>2018</v>
      </c>
      <c r="C81" s="158">
        <f>+(C83-C78)/COUNT(B79:B83)+C80</f>
        <v>0.156</v>
      </c>
      <c r="D81" s="158">
        <f>+(D83-D78)/COUNT(B79:B83)+D80</f>
        <v>0.16999999999999998</v>
      </c>
      <c r="E81" s="5"/>
      <c r="F81" s="158">
        <f>+(F83-F78)/COUNT(B79:B83)+F80</f>
        <v>0.4</v>
      </c>
      <c r="G81" s="158">
        <f>+(G83-G78)/COUNT(B79:B83)+G80</f>
        <v>0.956</v>
      </c>
      <c r="H81" s="5"/>
      <c r="I81" s="115">
        <f>+(I83-I78)/COUNT(B79:B83)+I80</f>
        <v>58</v>
      </c>
      <c r="J81" s="116">
        <f>+(J83-J78)/COUNT(B79:B83)+J80</f>
        <v>200</v>
      </c>
    </row>
    <row r="82" spans="2:10" ht="12.75">
      <c r="B82" s="4">
        <f t="shared" si="3"/>
        <v>2019</v>
      </c>
      <c r="C82" s="158">
        <f>+(C83-C78)/COUNT(B79:B83)+C81</f>
        <v>0.158</v>
      </c>
      <c r="D82" s="158">
        <f>+(D83-D78)/COUNT(B79:B83)+D81</f>
        <v>0.15999999999999998</v>
      </c>
      <c r="E82" s="5"/>
      <c r="F82" s="158">
        <f>+(F83-F78)/COUNT(B79:B83)+F81</f>
        <v>0.4</v>
      </c>
      <c r="G82" s="158">
        <f>+(G83-G78)/COUNT(B79:B83)+G81</f>
        <v>0.958</v>
      </c>
      <c r="H82" s="5"/>
      <c r="I82" s="115">
        <f>+(I83-I78)/COUNT(B79:B83)+I81</f>
        <v>59</v>
      </c>
      <c r="J82" s="116">
        <f>+(J83-J78)/COUNT(B79:B83)+J81</f>
        <v>200</v>
      </c>
    </row>
    <row r="83" spans="2:10" ht="12.75">
      <c r="B83" s="4">
        <f t="shared" si="3"/>
        <v>2020</v>
      </c>
      <c r="C83" s="93">
        <f>+'Input - Projection Parameters'!F137</f>
        <v>0.16</v>
      </c>
      <c r="D83" s="93">
        <f>+'Input - Projection Parameters'!G137</f>
        <v>0.15</v>
      </c>
      <c r="E83" s="5"/>
      <c r="F83" s="93">
        <f>+'Input - Projection Parameters'!E188</f>
        <v>0.4</v>
      </c>
      <c r="G83" s="93">
        <f>+'Input - Projection Parameters'!E177</f>
        <v>0.96</v>
      </c>
      <c r="H83" s="5"/>
      <c r="I83" s="5">
        <f>+'Input - Projection Parameters'!F209</f>
        <v>60</v>
      </c>
      <c r="J83" s="6">
        <f>+'Input - Projection Parameters'!H209</f>
        <v>200</v>
      </c>
    </row>
    <row r="84" spans="2:10" ht="12.75">
      <c r="B84" s="4">
        <f t="shared" si="3"/>
        <v>2021</v>
      </c>
      <c r="C84" s="158">
        <f>+(C88-C83)/COUNT(B84:B88)+C83</f>
        <v>0.156</v>
      </c>
      <c r="D84" s="158">
        <f>+(D88-D83)/COUNT(B84:B88)+D83</f>
        <v>0.13999999999999999</v>
      </c>
      <c r="E84" s="5"/>
      <c r="F84" s="158">
        <f>+(F88-F83)/COUNT(B84:B88)+F83</f>
        <v>0.39</v>
      </c>
      <c r="G84" s="158">
        <f>+(G88-G83)/COUNT(B84:B88)+G83</f>
        <v>0.962</v>
      </c>
      <c r="H84" s="5"/>
      <c r="I84" s="115">
        <f>+(I88-I83)/COUNT(B84:B88)+I83</f>
        <v>60</v>
      </c>
      <c r="J84" s="116">
        <f>+(J88-J83)/COUNT(B84:B88)+J83</f>
        <v>200</v>
      </c>
    </row>
    <row r="85" spans="2:10" ht="12.75">
      <c r="B85" s="4">
        <f t="shared" si="3"/>
        <v>2022</v>
      </c>
      <c r="C85" s="158">
        <f>+(C88-C83)/COUNT(B84:B88)+C84</f>
        <v>0.152</v>
      </c>
      <c r="D85" s="158">
        <f>+(D88-D83)/COUNT(B84:B88)+D84</f>
        <v>0.12999999999999998</v>
      </c>
      <c r="E85" s="5"/>
      <c r="F85" s="158">
        <f>+(F88-F83)/COUNT(B84:B88)+F84</f>
        <v>0.38</v>
      </c>
      <c r="G85" s="158">
        <f>+(G88-G83)/COUNT(B84:B88)+G84</f>
        <v>0.964</v>
      </c>
      <c r="H85" s="5"/>
      <c r="I85" s="115">
        <f>+(I88-I83)/COUNT(B84:B88)+I84</f>
        <v>60</v>
      </c>
      <c r="J85" s="116">
        <f>+(J88-J83)/COUNT(B84:B88)+J84</f>
        <v>200</v>
      </c>
    </row>
    <row r="86" spans="2:10" ht="12.75">
      <c r="B86" s="4">
        <f t="shared" si="3"/>
        <v>2023</v>
      </c>
      <c r="C86" s="158">
        <f>+(C88-C83)/COUNT(B84:B88)+C85</f>
        <v>0.148</v>
      </c>
      <c r="D86" s="158">
        <f>+(D88-D83)/COUNT(B84:B88)+D85</f>
        <v>0.11999999999999998</v>
      </c>
      <c r="E86" s="5"/>
      <c r="F86" s="158">
        <f>+(F88-F83)/COUNT(B84:B88)+F85</f>
        <v>0.37</v>
      </c>
      <c r="G86" s="158">
        <f>+(G88-G83)/COUNT(B84:B88)+G85</f>
        <v>0.966</v>
      </c>
      <c r="H86" s="5"/>
      <c r="I86" s="115">
        <f>+(I88-I83)/COUNT(B84:B88)+I85</f>
        <v>60</v>
      </c>
      <c r="J86" s="116">
        <f>+(J88-J83)/COUNT(B84:B88)+J85</f>
        <v>200</v>
      </c>
    </row>
    <row r="87" spans="2:10" ht="12.75">
      <c r="B87" s="4">
        <f t="shared" si="3"/>
        <v>2024</v>
      </c>
      <c r="C87" s="158">
        <f>+(C88-C83)/COUNT(B84:B88)+C86</f>
        <v>0.144</v>
      </c>
      <c r="D87" s="158">
        <f>+(D88-D83)/COUNT(B84:B88)+D86</f>
        <v>0.10999999999999999</v>
      </c>
      <c r="E87" s="5"/>
      <c r="F87" s="158">
        <f>+(F88-F83)/COUNT(B84:B88)+F86</f>
        <v>0.36</v>
      </c>
      <c r="G87" s="158">
        <f>+(G88-G83)/COUNT(B84:B88)+G86</f>
        <v>0.968</v>
      </c>
      <c r="H87" s="5"/>
      <c r="I87" s="115">
        <f>+(I88-I83)/COUNT(B84:B88)+I86</f>
        <v>60</v>
      </c>
      <c r="J87" s="116">
        <f>+(J88-J83)/COUNT(B84:B88)+J86</f>
        <v>200</v>
      </c>
    </row>
    <row r="88" spans="2:10" ht="12.75">
      <c r="B88" s="4">
        <f t="shared" si="3"/>
        <v>2025</v>
      </c>
      <c r="C88" s="93">
        <f>+'Input - Projection Parameters'!F138</f>
        <v>0.14</v>
      </c>
      <c r="D88" s="93">
        <f>+'Input - Projection Parameters'!G138</f>
        <v>0.1</v>
      </c>
      <c r="E88" s="5"/>
      <c r="F88" s="93">
        <f>+'Input - Projection Parameters'!E189</f>
        <v>0.35</v>
      </c>
      <c r="G88" s="93">
        <f>+'Input - Projection Parameters'!E178</f>
        <v>0.97</v>
      </c>
      <c r="H88" s="5"/>
      <c r="I88" s="5">
        <f>+'Input - Projection Parameters'!F210</f>
        <v>60</v>
      </c>
      <c r="J88" s="6">
        <f>+'Input - Projection Parameters'!H210</f>
        <v>200</v>
      </c>
    </row>
    <row r="89" spans="2:10" ht="12.75">
      <c r="B89" s="4">
        <f t="shared" si="3"/>
        <v>2026</v>
      </c>
      <c r="C89" s="158">
        <f>+(C93-C88)/COUNT(B89:B93)+C88</f>
        <v>0.136</v>
      </c>
      <c r="D89" s="158">
        <f>+(D93-D88)/COUNT(B89:B93)+D88</f>
        <v>0.09000000000000001</v>
      </c>
      <c r="E89" s="5"/>
      <c r="F89" s="158">
        <f>+(F93-F88)/COUNT(B89:B93)+F88</f>
        <v>0.33999999999999997</v>
      </c>
      <c r="G89" s="158">
        <f>+(G93-G88)/COUNT(B89:B93)+G88</f>
        <v>0.972</v>
      </c>
      <c r="H89" s="5"/>
      <c r="I89" s="5">
        <f>+(I93-I88)/COUNT(B89:B93)+I88</f>
        <v>60</v>
      </c>
      <c r="J89" s="116">
        <f>+(J93-J88)/COUNT(B89:B93)+J88</f>
        <v>200</v>
      </c>
    </row>
    <row r="90" spans="2:10" ht="12.75">
      <c r="B90" s="4">
        <f t="shared" si="3"/>
        <v>2027</v>
      </c>
      <c r="C90" s="158">
        <f>+(C93-C88)/COUNT(B89:B93)+C89</f>
        <v>0.132</v>
      </c>
      <c r="D90" s="158">
        <f>+(D93-D88)/COUNT(B89:B93)+D89</f>
        <v>0.08000000000000002</v>
      </c>
      <c r="E90" s="5"/>
      <c r="F90" s="158">
        <f>+(F93-F88)/COUNT(B89:B93)+F89</f>
        <v>0.32999999999999996</v>
      </c>
      <c r="G90" s="158">
        <f>+(G93-G88)/COUNT(B89:B93)+G89</f>
        <v>0.974</v>
      </c>
      <c r="H90" s="5"/>
      <c r="I90" s="5">
        <f>+(I93-I88)/COUNT(B89:B93)+I89</f>
        <v>60</v>
      </c>
      <c r="J90" s="116">
        <f>+(J93-J88)/COUNT(B89:B93)+J89</f>
        <v>200</v>
      </c>
    </row>
    <row r="91" spans="2:10" ht="12.75">
      <c r="B91" s="4">
        <f t="shared" si="3"/>
        <v>2028</v>
      </c>
      <c r="C91" s="158">
        <f>+(C93-C88)/COUNT(B89:B93)+C90</f>
        <v>0.128</v>
      </c>
      <c r="D91" s="158">
        <f>+(D93-D88)/COUNT(B89:B93)+D90</f>
        <v>0.07000000000000002</v>
      </c>
      <c r="E91" s="5"/>
      <c r="F91" s="158">
        <f>+(F93-F88)/COUNT(B89:B93)+F90</f>
        <v>0.31999999999999995</v>
      </c>
      <c r="G91" s="158">
        <f>+(G93-G88)/COUNT(B89:B93)+G90</f>
        <v>0.976</v>
      </c>
      <c r="H91" s="5"/>
      <c r="I91" s="5">
        <f>+(I93-I88)/COUNT(B89:B93)+I90</f>
        <v>60</v>
      </c>
      <c r="J91" s="116">
        <f>+(J93-J88)/COUNT(B89:B93)+J90</f>
        <v>200</v>
      </c>
    </row>
    <row r="92" spans="2:10" ht="12.75">
      <c r="B92" s="4">
        <f t="shared" si="3"/>
        <v>2029</v>
      </c>
      <c r="C92" s="158">
        <f>+(C93-C88)/COUNT(B89:B93)+C91</f>
        <v>0.124</v>
      </c>
      <c r="D92" s="158">
        <f>+(D93-D88)/COUNT(B89:B93)+D91</f>
        <v>0.06000000000000002</v>
      </c>
      <c r="E92" s="5"/>
      <c r="F92" s="158">
        <f>+(F93-F88)/COUNT(B89:B93)+F91</f>
        <v>0.30999999999999994</v>
      </c>
      <c r="G92" s="158">
        <f>+(G93-G88)/COUNT(B89:B93)+G91</f>
        <v>0.978</v>
      </c>
      <c r="H92" s="5"/>
      <c r="I92" s="5">
        <f>+(I93-I88)/COUNT(B89:B93)+I91</f>
        <v>60</v>
      </c>
      <c r="J92" s="116">
        <f>+(J93-J88)/COUNT(B89:B93)+J91</f>
        <v>200</v>
      </c>
    </row>
    <row r="93" spans="2:10" ht="12.75">
      <c r="B93" s="4">
        <f t="shared" si="3"/>
        <v>2030</v>
      </c>
      <c r="C93" s="93">
        <f>+'Input - Projection Parameters'!F139</f>
        <v>0.12</v>
      </c>
      <c r="D93" s="93">
        <f>+'Input - Projection Parameters'!G139</f>
        <v>0.05</v>
      </c>
      <c r="E93" s="5"/>
      <c r="F93" s="93">
        <f>+'Input - Projection Parameters'!E190</f>
        <v>0.3</v>
      </c>
      <c r="G93" s="93">
        <f>+'Input - Projection Parameters'!E179</f>
        <v>0.98</v>
      </c>
      <c r="H93" s="5"/>
      <c r="I93" s="5">
        <f>+'Input - Projection Parameters'!F211</f>
        <v>60</v>
      </c>
      <c r="J93" s="6">
        <f>+'Input - Projection Parameters'!H211</f>
        <v>200</v>
      </c>
    </row>
    <row r="94" spans="2:10" ht="12.75">
      <c r="B94" s="4">
        <f t="shared" si="3"/>
        <v>2031</v>
      </c>
      <c r="C94" s="158">
        <f>+(C98-C93)/COUNT(B94:B98)+C93</f>
        <v>0.12</v>
      </c>
      <c r="D94" s="158">
        <f>+(D98-D93)/COUNT(B94:B98)+D93</f>
        <v>0.05</v>
      </c>
      <c r="E94" s="5"/>
      <c r="F94" s="158">
        <f>+(F98-F93)/COUNT(B94:B98)+F93</f>
        <v>0.29</v>
      </c>
      <c r="G94" s="158">
        <f>+(G98-G93)/COUNT(B94:B98)+G93</f>
        <v>0.98</v>
      </c>
      <c r="H94" s="5"/>
      <c r="I94" s="115">
        <f>+(I98-I93)/COUNT(B94:B98)+I93</f>
        <v>60</v>
      </c>
      <c r="J94" s="116">
        <f>+(J98-J93)/COUNT(B94:B98)+J93</f>
        <v>200</v>
      </c>
    </row>
    <row r="95" spans="2:10" ht="12.75">
      <c r="B95" s="4">
        <f t="shared" si="3"/>
        <v>2032</v>
      </c>
      <c r="C95" s="158">
        <f>+(C98-C93)/COUNT(B94:B98)+C94</f>
        <v>0.12</v>
      </c>
      <c r="D95" s="158">
        <f>+(D98-D93)/COUNT(B94:B98)+D94</f>
        <v>0.05</v>
      </c>
      <c r="E95" s="5"/>
      <c r="F95" s="158">
        <f>+(F98-F93)/COUNT(B94:B98)+F94</f>
        <v>0.27999999999999997</v>
      </c>
      <c r="G95" s="158">
        <f>+(G98-G93)/COUNT(B94:B98)+G94</f>
        <v>0.98</v>
      </c>
      <c r="H95" s="5"/>
      <c r="I95" s="115">
        <f>+(I98-I93)/COUNT(B94:B98)+I94</f>
        <v>60</v>
      </c>
      <c r="J95" s="116">
        <f>+(J98-J93)/COUNT(B94:B98)+J94</f>
        <v>200</v>
      </c>
    </row>
    <row r="96" spans="2:10" ht="12.75">
      <c r="B96" s="4">
        <f t="shared" si="3"/>
        <v>2033</v>
      </c>
      <c r="C96" s="158">
        <f>+(C98-C93)/COUNT(B94:B98)+C95</f>
        <v>0.12</v>
      </c>
      <c r="D96" s="158">
        <f>+(D98-D93)/COUNT(B94:B98)+D95</f>
        <v>0.05</v>
      </c>
      <c r="E96" s="5"/>
      <c r="F96" s="158">
        <f>+(F98-F93)/COUNT(B94:B98)+F95</f>
        <v>0.26999999999999996</v>
      </c>
      <c r="G96" s="158">
        <f>+(G98-G93)/COUNT(B94:B98)+G95</f>
        <v>0.98</v>
      </c>
      <c r="H96" s="5"/>
      <c r="I96" s="115">
        <f>+(I98-I93)/COUNT(B94:B98)+I95</f>
        <v>60</v>
      </c>
      <c r="J96" s="116">
        <f>+(J98-J93)/COUNT(B94:B98)+J95</f>
        <v>200</v>
      </c>
    </row>
    <row r="97" spans="2:10" ht="12.75">
      <c r="B97" s="4">
        <f t="shared" si="3"/>
        <v>2034</v>
      </c>
      <c r="C97" s="158">
        <f>+(C98-C93)/COUNT(B94:B98)+C96</f>
        <v>0.12</v>
      </c>
      <c r="D97" s="158">
        <f>+(D98-D93)/COUNT(B94:B98)+D96</f>
        <v>0.05</v>
      </c>
      <c r="E97" s="5"/>
      <c r="F97" s="158">
        <f>+(F98-F93)/COUNT(B94:B98)+F96</f>
        <v>0.25999999999999995</v>
      </c>
      <c r="G97" s="158">
        <f>+(G98-G93)/COUNT(B94:B98)+G96</f>
        <v>0.98</v>
      </c>
      <c r="H97" s="5"/>
      <c r="I97" s="115">
        <f>+(I98-I93)/COUNT(B94:B98)+I96</f>
        <v>60</v>
      </c>
      <c r="J97" s="116">
        <f>+(J98-J93)/COUNT(B94:B98)+J96</f>
        <v>200</v>
      </c>
    </row>
    <row r="98" spans="2:10" ht="12.75">
      <c r="B98" s="4">
        <f t="shared" si="3"/>
        <v>2035</v>
      </c>
      <c r="C98" s="93">
        <f>+'Input - Projection Parameters'!F140</f>
        <v>0.12</v>
      </c>
      <c r="D98" s="93">
        <f>+'Input - Projection Parameters'!G140</f>
        <v>0.05</v>
      </c>
      <c r="E98" s="5"/>
      <c r="F98" s="93">
        <f>+'Input - Projection Parameters'!E191</f>
        <v>0.25</v>
      </c>
      <c r="G98" s="93">
        <f>+'Input - Projection Parameters'!E180</f>
        <v>0.98</v>
      </c>
      <c r="H98" s="5"/>
      <c r="I98" s="5">
        <f>+'Input - Projection Parameters'!F212</f>
        <v>60</v>
      </c>
      <c r="J98" s="6">
        <f>+'Input - Projection Parameters'!H212</f>
        <v>200</v>
      </c>
    </row>
    <row r="99" spans="2:10" ht="12.75">
      <c r="B99" s="4">
        <f t="shared" si="3"/>
        <v>2036</v>
      </c>
      <c r="C99" s="158">
        <f>+(C103-C98)/COUNT(B99:B103)+C98</f>
        <v>0.12</v>
      </c>
      <c r="D99" s="158">
        <f>+(D103-D98)/COUNT(B99:B103)+D98</f>
        <v>0.05</v>
      </c>
      <c r="E99" s="5"/>
      <c r="F99" s="158">
        <f>+(F103-F98)/COUNT(B99:B103)+F98</f>
        <v>0.24</v>
      </c>
      <c r="G99" s="158">
        <f>+(G103-G98)/COUNT(B99:B103)+G98</f>
        <v>0.982</v>
      </c>
      <c r="H99" s="5"/>
      <c r="I99" s="115">
        <f>+(I103-I98)/COUNT(B99:B103)+I98</f>
        <v>60</v>
      </c>
      <c r="J99" s="116">
        <f>+(J103-J98)/COUNT(B99:B103)+J98</f>
        <v>200</v>
      </c>
    </row>
    <row r="100" spans="2:10" ht="12.75">
      <c r="B100" s="4">
        <f t="shared" si="3"/>
        <v>2037</v>
      </c>
      <c r="C100" s="158">
        <f>+(C103-C98)/COUNT(B99:B103)+C99</f>
        <v>0.12</v>
      </c>
      <c r="D100" s="158">
        <f>+(D103-D98)/COUNT(B99:B103)+D99</f>
        <v>0.05</v>
      </c>
      <c r="E100" s="5"/>
      <c r="F100" s="158">
        <f>+(F103-F98)/COUNT(B99:B103)+F99</f>
        <v>0.22999999999999998</v>
      </c>
      <c r="G100" s="158">
        <f>+(G103-G98)/COUNT(B99:B103)+G99</f>
        <v>0.984</v>
      </c>
      <c r="H100" s="5"/>
      <c r="I100" s="115">
        <f>+(I103-I98)/COUNT(B99:B103)+I99</f>
        <v>60</v>
      </c>
      <c r="J100" s="116">
        <f>+(J103-J98)/COUNT(B99:B103)+J99</f>
        <v>200</v>
      </c>
    </row>
    <row r="101" spans="2:10" ht="12.75">
      <c r="B101" s="4">
        <f t="shared" si="3"/>
        <v>2038</v>
      </c>
      <c r="C101" s="158">
        <f>+(C103-C98)/COUNT(B99:B103)+C100</f>
        <v>0.12</v>
      </c>
      <c r="D101" s="158">
        <f>+(D103-D98)/COUNT(B99:B103)+D100</f>
        <v>0.05</v>
      </c>
      <c r="E101" s="5"/>
      <c r="F101" s="158">
        <f>+(F103-F98)/COUNT(B99:B103)+F100</f>
        <v>0.21999999999999997</v>
      </c>
      <c r="G101" s="158">
        <f>+(G103-G98)/COUNT(B99:B103)+G100</f>
        <v>0.986</v>
      </c>
      <c r="H101" s="5"/>
      <c r="I101" s="115">
        <f>+(I103-I98)/COUNT(B99:B103)+I100</f>
        <v>60</v>
      </c>
      <c r="J101" s="116">
        <f>+(J103-J98)/COUNT(B99:B103)+J100</f>
        <v>200</v>
      </c>
    </row>
    <row r="102" spans="2:10" ht="12.75">
      <c r="B102" s="4">
        <f t="shared" si="3"/>
        <v>2039</v>
      </c>
      <c r="C102" s="158">
        <f>+(C103-C98)/COUNT(B99:B103)+C101</f>
        <v>0.12</v>
      </c>
      <c r="D102" s="158">
        <f>+(D103-D98)/COUNT(B99:B103)+D101</f>
        <v>0.05</v>
      </c>
      <c r="E102" s="5"/>
      <c r="F102" s="158">
        <f>+(F103-F98)/COUNT(B99:B103)+F101</f>
        <v>0.20999999999999996</v>
      </c>
      <c r="G102" s="158">
        <f>+(G103-G98)/COUNT(B99:B103)+G101</f>
        <v>0.988</v>
      </c>
      <c r="H102" s="5"/>
      <c r="I102" s="115">
        <f>+(I103-I98)/COUNT(B99:B103)+I101</f>
        <v>60</v>
      </c>
      <c r="J102" s="116">
        <f>+(J103-J98)/COUNT(B99:B103)+J101</f>
        <v>200</v>
      </c>
    </row>
    <row r="103" spans="2:10" ht="12.75">
      <c r="B103" s="4">
        <f t="shared" si="3"/>
        <v>2040</v>
      </c>
      <c r="C103" s="93">
        <f>+'Input - Projection Parameters'!F141</f>
        <v>0.12</v>
      </c>
      <c r="D103" s="93">
        <f>+'Input - Projection Parameters'!G141</f>
        <v>0.05</v>
      </c>
      <c r="E103" s="5"/>
      <c r="F103" s="93">
        <f>+'Input - Projection Parameters'!E192</f>
        <v>0.2</v>
      </c>
      <c r="G103" s="93">
        <f>+'Input - Projection Parameters'!E181</f>
        <v>0.99</v>
      </c>
      <c r="H103" s="5"/>
      <c r="I103" s="5">
        <f>+'Input - Projection Parameters'!F213</f>
        <v>60</v>
      </c>
      <c r="J103" s="6">
        <f>+'Input - Projection Parameters'!H213</f>
        <v>200</v>
      </c>
    </row>
    <row r="104" spans="2:10" ht="12.75">
      <c r="B104" s="7"/>
      <c r="C104" s="8"/>
      <c r="D104" s="8"/>
      <c r="E104" s="8"/>
      <c r="F104" s="8"/>
      <c r="G104" s="8"/>
      <c r="H104" s="8"/>
      <c r="I104" s="8"/>
      <c r="J104" s="9"/>
    </row>
    <row r="107" spans="2:9" ht="12.75">
      <c r="B107" s="37"/>
      <c r="C107" s="38"/>
      <c r="D107" s="38"/>
      <c r="E107" s="38"/>
      <c r="F107" s="38"/>
      <c r="G107" s="38"/>
      <c r="H107" s="38"/>
      <c r="I107" s="39"/>
    </row>
    <row r="108" spans="2:9" ht="12.75">
      <c r="B108" s="105" t="s">
        <v>73</v>
      </c>
      <c r="C108" s="40"/>
      <c r="D108" s="40"/>
      <c r="E108" s="40"/>
      <c r="F108" s="40"/>
      <c r="G108" s="40"/>
      <c r="H108" s="40"/>
      <c r="I108" s="41"/>
    </row>
    <row r="109" spans="2:9" ht="12.75">
      <c r="B109" s="42"/>
      <c r="C109" s="43"/>
      <c r="D109" s="43"/>
      <c r="E109" s="43"/>
      <c r="F109" s="43"/>
      <c r="G109" s="43"/>
      <c r="H109" s="43"/>
      <c r="I109" s="44"/>
    </row>
    <row r="110" spans="2:9" ht="12.75">
      <c r="B110" s="1"/>
      <c r="C110" s="2"/>
      <c r="D110" s="2"/>
      <c r="E110" s="2"/>
      <c r="F110" s="2"/>
      <c r="G110" s="2"/>
      <c r="H110" s="2"/>
      <c r="I110" s="3"/>
    </row>
    <row r="111" spans="2:9" ht="12.75">
      <c r="B111" s="4"/>
      <c r="C111" s="5" t="s">
        <v>74</v>
      </c>
      <c r="D111" s="5"/>
      <c r="E111" s="5"/>
      <c r="F111" s="5"/>
      <c r="G111" s="5"/>
      <c r="H111" s="5"/>
      <c r="I111" s="6"/>
    </row>
    <row r="112" spans="2:9" ht="12.75">
      <c r="B112" s="4"/>
      <c r="C112" s="5"/>
      <c r="D112" s="5"/>
      <c r="E112" s="5"/>
      <c r="F112" s="5"/>
      <c r="G112" s="5"/>
      <c r="H112" s="5"/>
      <c r="I112" s="6"/>
    </row>
    <row r="113" spans="2:9" ht="12.75">
      <c r="B113" s="4">
        <f>+B64</f>
        <v>2001</v>
      </c>
      <c r="C113" s="161">
        <f>+E15</f>
        <v>350000</v>
      </c>
      <c r="D113" s="115"/>
      <c r="E113" s="5"/>
      <c r="F113" s="5"/>
      <c r="G113" s="5"/>
      <c r="H113" s="5"/>
      <c r="I113" s="6"/>
    </row>
    <row r="114" spans="2:9" ht="12.75">
      <c r="B114" s="4">
        <f aca="true" t="shared" si="4" ref="B114:B153">+B65</f>
        <v>2002</v>
      </c>
      <c r="C114" s="161">
        <f aca="true" t="shared" si="5" ref="C114:C152">+E16</f>
        <v>365250</v>
      </c>
      <c r="D114" s="115"/>
      <c r="E114" s="5"/>
      <c r="F114" s="5"/>
      <c r="G114" s="5"/>
      <c r="H114" s="5"/>
      <c r="I114" s="6"/>
    </row>
    <row r="115" spans="2:9" ht="12.75">
      <c r="B115" s="4">
        <f t="shared" si="4"/>
        <v>2003</v>
      </c>
      <c r="C115" s="161">
        <f t="shared" si="5"/>
        <v>380500</v>
      </c>
      <c r="D115" s="115"/>
      <c r="E115" s="5"/>
      <c r="F115" s="5"/>
      <c r="G115" s="5"/>
      <c r="H115" s="5"/>
      <c r="I115" s="6"/>
    </row>
    <row r="116" spans="2:9" ht="12.75">
      <c r="B116" s="4">
        <f t="shared" si="4"/>
        <v>2004</v>
      </c>
      <c r="C116" s="161">
        <f t="shared" si="5"/>
        <v>395750</v>
      </c>
      <c r="D116" s="115"/>
      <c r="E116" s="5"/>
      <c r="F116" s="5"/>
      <c r="G116" s="5"/>
      <c r="H116" s="5"/>
      <c r="I116" s="6"/>
    </row>
    <row r="117" spans="2:9" ht="12.75">
      <c r="B117" s="4">
        <f t="shared" si="4"/>
        <v>2005</v>
      </c>
      <c r="C117" s="161">
        <f t="shared" si="5"/>
        <v>411000</v>
      </c>
      <c r="D117" s="115"/>
      <c r="E117" s="5"/>
      <c r="F117" s="5"/>
      <c r="G117" s="5"/>
      <c r="H117" s="5"/>
      <c r="I117" s="6"/>
    </row>
    <row r="118" spans="2:9" ht="12.75">
      <c r="B118" s="4">
        <f t="shared" si="4"/>
        <v>2006</v>
      </c>
      <c r="C118" s="161">
        <f t="shared" si="5"/>
        <v>426250</v>
      </c>
      <c r="D118" s="115">
        <f>+C20*'Input - Projection Parameters'!G64</f>
        <v>318128.0487804878</v>
      </c>
      <c r="E118" s="5"/>
      <c r="F118" s="5"/>
      <c r="G118" s="5"/>
      <c r="H118" s="5"/>
      <c r="I118" s="6"/>
    </row>
    <row r="119" spans="2:9" ht="12.75">
      <c r="B119" s="4">
        <f t="shared" si="4"/>
        <v>2007</v>
      </c>
      <c r="C119" s="161">
        <f t="shared" si="5"/>
        <v>436778.1971060416</v>
      </c>
      <c r="D119" s="115">
        <f>+(D122-D118)/COUNT(B119:B122)+D118</f>
        <v>332856.0995038033</v>
      </c>
      <c r="E119" s="5"/>
      <c r="F119" s="5"/>
      <c r="G119" s="5"/>
      <c r="H119" s="5"/>
      <c r="I119" s="6"/>
    </row>
    <row r="120" spans="2:9" ht="12.75">
      <c r="B120" s="4">
        <f t="shared" si="4"/>
        <v>2008</v>
      </c>
      <c r="C120" s="161">
        <f t="shared" si="5"/>
        <v>443796.99517673603</v>
      </c>
      <c r="D120" s="115">
        <f>+(D122-D118)/COUNT(B119:B122)+D119</f>
        <v>347584.1502271188</v>
      </c>
      <c r="E120" s="5"/>
      <c r="F120" s="5"/>
      <c r="G120" s="5"/>
      <c r="H120" s="5"/>
      <c r="I120" s="6"/>
    </row>
    <row r="121" spans="2:9" ht="12.75">
      <c r="B121" s="4">
        <f t="shared" si="4"/>
        <v>2009</v>
      </c>
      <c r="C121" s="161">
        <f t="shared" si="5"/>
        <v>450815.79324743047</v>
      </c>
      <c r="D121" s="115">
        <f>+(D122-D118)/COUNT(B119:B122)+D120</f>
        <v>362312.2009504343</v>
      </c>
      <c r="E121" s="5"/>
      <c r="F121" s="5"/>
      <c r="G121" s="5"/>
      <c r="H121" s="5"/>
      <c r="I121" s="6"/>
    </row>
    <row r="122" spans="2:9" ht="12.75">
      <c r="B122" s="4">
        <f t="shared" si="4"/>
        <v>2010</v>
      </c>
      <c r="C122" s="161">
        <f t="shared" si="5"/>
        <v>457834.59131812485</v>
      </c>
      <c r="D122" s="115">
        <f>+C24*'Input - Projection Parameters'!G65</f>
        <v>377040.2516737498</v>
      </c>
      <c r="E122" s="5"/>
      <c r="F122" s="5"/>
      <c r="G122" s="5"/>
      <c r="H122" s="5"/>
      <c r="I122" s="6"/>
    </row>
    <row r="123" spans="2:9" ht="12.75">
      <c r="B123" s="4">
        <f t="shared" si="4"/>
        <v>2011</v>
      </c>
      <c r="C123" s="161">
        <f t="shared" si="5"/>
        <v>467232.274710312</v>
      </c>
      <c r="D123" s="115">
        <f>+(D127-D122)/COUNT(B123:B127)+D122</f>
        <v>394473.2143558386</v>
      </c>
      <c r="E123" s="5"/>
      <c r="F123" s="5"/>
      <c r="G123" s="5"/>
      <c r="H123" s="5"/>
      <c r="I123" s="6"/>
    </row>
    <row r="124" spans="2:9" ht="12.75">
      <c r="B124" s="4">
        <f t="shared" si="4"/>
        <v>2012</v>
      </c>
      <c r="C124" s="161">
        <f t="shared" si="5"/>
        <v>476629.9581024992</v>
      </c>
      <c r="D124" s="115">
        <f>+(D127-D122)/COUNT(B123:B127)+D123</f>
        <v>411906.1770379274</v>
      </c>
      <c r="E124" s="158"/>
      <c r="F124" s="5"/>
      <c r="G124" s="5"/>
      <c r="H124" s="5"/>
      <c r="I124" s="6"/>
    </row>
    <row r="125" spans="2:9" ht="12.75">
      <c r="B125" s="4">
        <f t="shared" si="4"/>
        <v>2013</v>
      </c>
      <c r="C125" s="161">
        <f t="shared" si="5"/>
        <v>486027.64149468637</v>
      </c>
      <c r="D125" s="115">
        <f>+(D127-D122)/COUNT(B123:B127)+D124</f>
        <v>429339.13972001616</v>
      </c>
      <c r="E125" s="158"/>
      <c r="F125" s="5"/>
      <c r="G125" s="5"/>
      <c r="H125" s="5"/>
      <c r="I125" s="6"/>
    </row>
    <row r="126" spans="2:9" ht="12.75">
      <c r="B126" s="4">
        <f t="shared" si="4"/>
        <v>2014</v>
      </c>
      <c r="C126" s="161">
        <f t="shared" si="5"/>
        <v>495425.32488687354</v>
      </c>
      <c r="D126" s="115">
        <f>+(D127-D122)/COUNT(B123:B127)+D125</f>
        <v>446772.10240210494</v>
      </c>
      <c r="E126" s="158"/>
      <c r="F126" s="5"/>
      <c r="G126" s="5"/>
      <c r="H126" s="5"/>
      <c r="I126" s="6"/>
    </row>
    <row r="127" spans="2:9" ht="12.75">
      <c r="B127" s="4">
        <f t="shared" si="4"/>
        <v>2015</v>
      </c>
      <c r="C127" s="161">
        <f t="shared" si="5"/>
        <v>504823.0082790606</v>
      </c>
      <c r="D127" s="115">
        <f>+C29*'Input - Projection Parameters'!G66</f>
        <v>464205.06508419366</v>
      </c>
      <c r="E127" s="158"/>
      <c r="F127" s="5"/>
      <c r="G127" s="5"/>
      <c r="H127" s="5"/>
      <c r="I127" s="6"/>
    </row>
    <row r="128" spans="2:9" ht="12.75">
      <c r="B128" s="4">
        <f t="shared" si="4"/>
        <v>2016</v>
      </c>
      <c r="C128" s="161">
        <f t="shared" si="5"/>
        <v>516376.5621291425</v>
      </c>
      <c r="D128" s="115">
        <f>+(D132-D127)/COUNT(B128:B132)+D127</f>
        <v>477631.1989340326</v>
      </c>
      <c r="E128" s="5"/>
      <c r="F128" s="5"/>
      <c r="G128" s="5"/>
      <c r="H128" s="5"/>
      <c r="I128" s="6"/>
    </row>
    <row r="129" spans="2:9" ht="12.75">
      <c r="B129" s="4">
        <f t="shared" si="4"/>
        <v>2017</v>
      </c>
      <c r="C129" s="161">
        <f t="shared" si="5"/>
        <v>527930.1159792244</v>
      </c>
      <c r="D129" s="115">
        <f>+(D132-D127)/COUNT(B128:B132)+D128</f>
        <v>491057.3327838715</v>
      </c>
      <c r="E129" s="5"/>
      <c r="F129" s="5"/>
      <c r="G129" s="5"/>
      <c r="H129" s="5"/>
      <c r="I129" s="6"/>
    </row>
    <row r="130" spans="2:9" ht="12.75">
      <c r="B130" s="4">
        <f t="shared" si="4"/>
        <v>2018</v>
      </c>
      <c r="C130" s="161">
        <f t="shared" si="5"/>
        <v>539483.6698293063</v>
      </c>
      <c r="D130" s="115">
        <f>+(D132-D127)/COUNT(B128:B132)+D129</f>
        <v>504483.4666337104</v>
      </c>
      <c r="E130" s="5"/>
      <c r="F130" s="5"/>
      <c r="G130" s="5"/>
      <c r="H130" s="5"/>
      <c r="I130" s="6"/>
    </row>
    <row r="131" spans="2:9" ht="12.75">
      <c r="B131" s="4">
        <f t="shared" si="4"/>
        <v>2019</v>
      </c>
      <c r="C131" s="161">
        <f t="shared" si="5"/>
        <v>551037.2236793882</v>
      </c>
      <c r="D131" s="115">
        <f>+(D132-D127)/COUNT(B128:B132)+D130</f>
        <v>517909.60048354935</v>
      </c>
      <c r="E131" s="5"/>
      <c r="F131" s="5"/>
      <c r="G131" s="5"/>
      <c r="H131" s="5"/>
      <c r="I131" s="6"/>
    </row>
    <row r="132" spans="2:9" ht="12.75">
      <c r="B132" s="4">
        <f t="shared" si="4"/>
        <v>2020</v>
      </c>
      <c r="C132" s="161">
        <f t="shared" si="5"/>
        <v>562590.7775294702</v>
      </c>
      <c r="D132" s="115">
        <f>+C34*'Input - Projection Parameters'!G67</f>
        <v>531335.7343333884</v>
      </c>
      <c r="E132" s="5"/>
      <c r="F132" s="5"/>
      <c r="G132" s="5"/>
      <c r="H132" s="5"/>
      <c r="I132" s="6"/>
    </row>
    <row r="133" spans="2:9" ht="12.75">
      <c r="B133" s="4">
        <f t="shared" si="4"/>
        <v>2021</v>
      </c>
      <c r="C133" s="161">
        <f t="shared" si="5"/>
        <v>573980.2757427186</v>
      </c>
      <c r="D133" s="115">
        <f>+(D137-D132)/COUNT(B133:B137)+D132</f>
        <v>546282.5965397849</v>
      </c>
      <c r="E133" s="5"/>
      <c r="F133" s="5"/>
      <c r="G133" s="5"/>
      <c r="H133" s="5"/>
      <c r="I133" s="6"/>
    </row>
    <row r="134" spans="2:9" ht="12.75">
      <c r="B134" s="4">
        <f t="shared" si="4"/>
        <v>2022</v>
      </c>
      <c r="C134" s="161">
        <f t="shared" si="5"/>
        <v>585369.773955967</v>
      </c>
      <c r="D134" s="115">
        <f>+(D137-D132)/COUNT(B133:B137)+D133</f>
        <v>561229.4587461815</v>
      </c>
      <c r="E134" s="5"/>
      <c r="F134" s="5"/>
      <c r="G134" s="5"/>
      <c r="H134" s="5"/>
      <c r="I134" s="6"/>
    </row>
    <row r="135" spans="2:9" ht="12.75">
      <c r="B135" s="4">
        <f t="shared" si="4"/>
        <v>2023</v>
      </c>
      <c r="C135" s="161">
        <f t="shared" si="5"/>
        <v>596759.2721692155</v>
      </c>
      <c r="D135" s="115">
        <f>+(D137-D132)/COUNT(B133:B137)+D134</f>
        <v>576176.320952578</v>
      </c>
      <c r="E135" s="5"/>
      <c r="F135" s="5"/>
      <c r="G135" s="5"/>
      <c r="H135" s="5"/>
      <c r="I135" s="6"/>
    </row>
    <row r="136" spans="2:9" ht="12.75">
      <c r="B136" s="4">
        <f t="shared" si="4"/>
        <v>2024</v>
      </c>
      <c r="C136" s="161">
        <f t="shared" si="5"/>
        <v>608148.7703824639</v>
      </c>
      <c r="D136" s="115">
        <f>+(D137-D132)/COUNT(B133:B137)+D135</f>
        <v>591123.1831589745</v>
      </c>
      <c r="E136" s="5"/>
      <c r="F136" s="5"/>
      <c r="G136" s="5"/>
      <c r="H136" s="5"/>
      <c r="I136" s="6"/>
    </row>
    <row r="137" spans="2:9" ht="12.75">
      <c r="B137" s="4">
        <f t="shared" si="4"/>
        <v>2025</v>
      </c>
      <c r="C137" s="161">
        <f t="shared" si="5"/>
        <v>619538.2685957124</v>
      </c>
      <c r="D137" s="115">
        <f>+C39*'Input - Projection Parameters'!G68</f>
        <v>606070.0453653708</v>
      </c>
      <c r="E137" s="5"/>
      <c r="F137" s="5"/>
      <c r="G137" s="5"/>
      <c r="H137" s="5"/>
      <c r="I137" s="6"/>
    </row>
    <row r="138" spans="2:9" ht="12.75">
      <c r="B138" s="4">
        <f t="shared" si="4"/>
        <v>2026</v>
      </c>
      <c r="C138" s="161">
        <f t="shared" si="5"/>
        <v>633467.0786210835</v>
      </c>
      <c r="D138" s="115">
        <f>+(D142-D137)/COUNT(B138:B142)+D137</f>
        <v>622692.5000368103</v>
      </c>
      <c r="E138" s="5"/>
      <c r="F138" s="5"/>
      <c r="G138" s="5"/>
      <c r="H138" s="5"/>
      <c r="I138" s="6"/>
    </row>
    <row r="139" spans="2:9" ht="12.75">
      <c r="B139" s="4">
        <f t="shared" si="4"/>
        <v>2027</v>
      </c>
      <c r="C139" s="161">
        <f t="shared" si="5"/>
        <v>647395.8886464547</v>
      </c>
      <c r="D139" s="115">
        <f>+(D142-D137)/COUNT(B138:B142)+D138</f>
        <v>639314.9547082498</v>
      </c>
      <c r="E139" s="5"/>
      <c r="F139" s="5"/>
      <c r="G139" s="5"/>
      <c r="H139" s="5"/>
      <c r="I139" s="6"/>
    </row>
    <row r="140" spans="2:9" ht="12.75">
      <c r="B140" s="4">
        <f t="shared" si="4"/>
        <v>2028</v>
      </c>
      <c r="C140" s="161">
        <f t="shared" si="5"/>
        <v>661324.6986718258</v>
      </c>
      <c r="D140" s="115">
        <f>+(D142-D137)/COUNT(B138:B142)+D139</f>
        <v>655937.4093796893</v>
      </c>
      <c r="E140" s="5"/>
      <c r="F140" s="5"/>
      <c r="G140" s="5"/>
      <c r="H140" s="5"/>
      <c r="I140" s="6"/>
    </row>
    <row r="141" spans="2:9" ht="12.75">
      <c r="B141" s="4">
        <f t="shared" si="4"/>
        <v>2029</v>
      </c>
      <c r="C141" s="161">
        <f t="shared" si="5"/>
        <v>675253.508697197</v>
      </c>
      <c r="D141" s="115">
        <f>+(D142-D137)/COUNT(B138:B142)+D140</f>
        <v>672559.8640511287</v>
      </c>
      <c r="E141" s="5"/>
      <c r="F141" s="5"/>
      <c r="G141" s="5"/>
      <c r="H141" s="5"/>
      <c r="I141" s="6"/>
    </row>
    <row r="142" spans="2:9" ht="12.75">
      <c r="B142" s="4">
        <f t="shared" si="4"/>
        <v>2030</v>
      </c>
      <c r="C142" s="161">
        <f t="shared" si="5"/>
        <v>689182.3187225682</v>
      </c>
      <c r="D142" s="115">
        <f>+C44*'Input - Projection Parameters'!G69</f>
        <v>689182.3187225682</v>
      </c>
      <c r="E142" s="5"/>
      <c r="F142" s="5"/>
      <c r="G142" s="5"/>
      <c r="H142" s="5"/>
      <c r="I142" s="6"/>
    </row>
    <row r="143" spans="2:9" ht="12.75">
      <c r="B143" s="4">
        <f t="shared" si="4"/>
        <v>2031</v>
      </c>
      <c r="C143" s="161">
        <f t="shared" si="5"/>
        <v>701397.914811944</v>
      </c>
      <c r="D143" s="115">
        <f>+(D147-D142)/COUNT(B143:B147)+D142</f>
        <v>701397.914811944</v>
      </c>
      <c r="E143" s="5"/>
      <c r="F143" s="5"/>
      <c r="G143" s="5"/>
      <c r="H143" s="5"/>
      <c r="I143" s="6"/>
    </row>
    <row r="144" spans="2:9" ht="12.75">
      <c r="B144" s="4">
        <f t="shared" si="4"/>
        <v>2032</v>
      </c>
      <c r="C144" s="161">
        <f t="shared" si="5"/>
        <v>713613.5109013198</v>
      </c>
      <c r="D144" s="115">
        <f>+(D147-D142)/COUNT(B143:B147)+D143</f>
        <v>713613.5109013198</v>
      </c>
      <c r="E144" s="5"/>
      <c r="F144" s="5"/>
      <c r="G144" s="5"/>
      <c r="H144" s="5"/>
      <c r="I144" s="6"/>
    </row>
    <row r="145" spans="2:9" ht="12.75">
      <c r="B145" s="4">
        <f t="shared" si="4"/>
        <v>2033</v>
      </c>
      <c r="C145" s="161">
        <f t="shared" si="5"/>
        <v>725829.1069906956</v>
      </c>
      <c r="D145" s="115">
        <f>+(D147-D142)/COUNT(B143:B147)+D144</f>
        <v>725829.1069906956</v>
      </c>
      <c r="E145" s="5"/>
      <c r="F145" s="5"/>
      <c r="G145" s="5"/>
      <c r="H145" s="5"/>
      <c r="I145" s="6"/>
    </row>
    <row r="146" spans="2:9" ht="12.75">
      <c r="B146" s="4">
        <f t="shared" si="4"/>
        <v>2034</v>
      </c>
      <c r="C146" s="161">
        <f t="shared" si="5"/>
        <v>738044.7030800714</v>
      </c>
      <c r="D146" s="115">
        <f>+(D147-D142)/COUNT(B143:B147)+D145</f>
        <v>738044.7030800714</v>
      </c>
      <c r="E146" s="5"/>
      <c r="F146" s="5"/>
      <c r="G146" s="5"/>
      <c r="H146" s="5"/>
      <c r="I146" s="6"/>
    </row>
    <row r="147" spans="2:9" ht="12.75">
      <c r="B147" s="4">
        <f t="shared" si="4"/>
        <v>2035</v>
      </c>
      <c r="C147" s="161">
        <f t="shared" si="5"/>
        <v>750260.2991694473</v>
      </c>
      <c r="D147" s="115">
        <f>+C49*'Input - Projection Parameters'!G70</f>
        <v>750260.2991694473</v>
      </c>
      <c r="E147" s="5"/>
      <c r="F147" s="5"/>
      <c r="G147" s="5"/>
      <c r="H147" s="5"/>
      <c r="I147" s="6"/>
    </row>
    <row r="148" spans="2:9" ht="12.75">
      <c r="B148" s="4">
        <f t="shared" si="4"/>
        <v>2036</v>
      </c>
      <c r="C148" s="161">
        <f t="shared" si="5"/>
        <v>763540.7636008512</v>
      </c>
      <c r="D148" s="115">
        <f>+(D152-D147)/COUNT(B148:B152)+D147</f>
        <v>763540.7636008512</v>
      </c>
      <c r="E148" s="5"/>
      <c r="F148" s="5"/>
      <c r="G148" s="5"/>
      <c r="H148" s="5"/>
      <c r="I148" s="6"/>
    </row>
    <row r="149" spans="2:9" ht="12.75">
      <c r="B149" s="4">
        <f t="shared" si="4"/>
        <v>2037</v>
      </c>
      <c r="C149" s="161">
        <f t="shared" si="5"/>
        <v>776821.2280322551</v>
      </c>
      <c r="D149" s="115">
        <f>+(D152-D147)/COUNT(B148:B152)+D148</f>
        <v>776821.2280322551</v>
      </c>
      <c r="E149" s="5"/>
      <c r="F149" s="5"/>
      <c r="G149" s="5"/>
      <c r="H149" s="5"/>
      <c r="I149" s="6"/>
    </row>
    <row r="150" spans="2:9" ht="12.75">
      <c r="B150" s="4">
        <f t="shared" si="4"/>
        <v>2038</v>
      </c>
      <c r="C150" s="161">
        <f t="shared" si="5"/>
        <v>790101.692463659</v>
      </c>
      <c r="D150" s="115">
        <f>+(D152-D147)/COUNT(B148:B152)+D149</f>
        <v>790101.692463659</v>
      </c>
      <c r="E150" s="5"/>
      <c r="F150" s="5"/>
      <c r="G150" s="5"/>
      <c r="H150" s="5"/>
      <c r="I150" s="6"/>
    </row>
    <row r="151" spans="2:9" ht="12.75">
      <c r="B151" s="4">
        <f t="shared" si="4"/>
        <v>2039</v>
      </c>
      <c r="C151" s="161">
        <f t="shared" si="5"/>
        <v>803382.1568950629</v>
      </c>
      <c r="D151" s="115">
        <f>+(D152-D147)/COUNT(B148:B152)+D150</f>
        <v>803382.1568950629</v>
      </c>
      <c r="E151" s="5"/>
      <c r="F151" s="5"/>
      <c r="G151" s="5"/>
      <c r="H151" s="5"/>
      <c r="I151" s="6"/>
    </row>
    <row r="152" spans="2:9" ht="12.75">
      <c r="B152" s="4">
        <f t="shared" si="4"/>
        <v>2040</v>
      </c>
      <c r="C152" s="161">
        <f t="shared" si="5"/>
        <v>816662.621326467</v>
      </c>
      <c r="D152" s="115">
        <f>+C54*'Input - Projection Parameters'!G71</f>
        <v>816662.621326467</v>
      </c>
      <c r="E152" s="5"/>
      <c r="F152" s="5"/>
      <c r="G152" s="5"/>
      <c r="H152" s="5"/>
      <c r="I152" s="6"/>
    </row>
    <row r="153" spans="2:9" ht="12.75">
      <c r="B153" s="4">
        <f t="shared" si="4"/>
        <v>0</v>
      </c>
      <c r="C153" s="93"/>
      <c r="D153" s="93"/>
      <c r="E153" s="5"/>
      <c r="F153" s="5"/>
      <c r="G153" s="5"/>
      <c r="H153" s="5"/>
      <c r="I153" s="6"/>
    </row>
    <row r="154" spans="2:9" ht="12.75">
      <c r="B154" s="7"/>
      <c r="C154" s="8"/>
      <c r="D154" s="8"/>
      <c r="E154" s="8"/>
      <c r="F154" s="8"/>
      <c r="G154" s="8"/>
      <c r="H154" s="8"/>
      <c r="I154" s="9"/>
    </row>
  </sheetData>
  <mergeCells count="9">
    <mergeCell ref="AM6:AZ6"/>
    <mergeCell ref="AN9:AS9"/>
    <mergeCell ref="AU9:AZ9"/>
    <mergeCell ref="Y9:AD9"/>
    <mergeCell ref="AF9:AK9"/>
    <mergeCell ref="G9:L9"/>
    <mergeCell ref="N9:S9"/>
    <mergeCell ref="E6:S6"/>
    <mergeCell ref="X6:A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AF158"/>
  <sheetViews>
    <sheetView workbookViewId="0" topLeftCell="A52">
      <selection activeCell="A65" sqref="A65"/>
    </sheetView>
  </sheetViews>
  <sheetFormatPr defaultColWidth="9.140625" defaultRowHeight="12.75"/>
  <cols>
    <col min="4" max="4" width="11.140625" style="0" customWidth="1"/>
    <col min="5" max="5" width="13.140625" style="0" customWidth="1"/>
    <col min="6" max="6" width="13.8515625" style="0" customWidth="1"/>
    <col min="7" max="7" width="11.421875" style="0" customWidth="1"/>
    <col min="9" max="9" width="11.28125" style="0" customWidth="1"/>
    <col min="10" max="10" width="9.00390625" style="0" customWidth="1"/>
    <col min="11" max="11" width="11.7109375" style="0" customWidth="1"/>
    <col min="12" max="12" width="13.28125" style="0" customWidth="1"/>
    <col min="13" max="13" width="11.57421875" style="0" customWidth="1"/>
    <col min="14" max="14" width="11.00390625" style="0" customWidth="1"/>
    <col min="17" max="18" width="11.8515625" style="0" customWidth="1"/>
    <col min="19" max="19" width="11.140625" style="0" customWidth="1"/>
    <col min="20" max="20" width="12.00390625" style="0" customWidth="1"/>
    <col min="22" max="22" width="9.28125" style="0" bestFit="1" customWidth="1"/>
    <col min="23" max="23" width="10.28125" style="0" bestFit="1" customWidth="1"/>
    <col min="29" max="29" width="11.421875" style="0" customWidth="1"/>
    <col min="31" max="31" width="12.57421875" style="0" customWidth="1"/>
    <col min="32" max="32" width="9.8515625" style="0" customWidth="1"/>
  </cols>
  <sheetData>
    <row r="2" spans="3:14" ht="12.75">
      <c r="C2" s="37"/>
      <c r="D2" s="38"/>
      <c r="E2" s="38"/>
      <c r="F2" s="38"/>
      <c r="G2" s="39"/>
      <c r="J2" s="37"/>
      <c r="K2" s="38"/>
      <c r="L2" s="38"/>
      <c r="M2" s="38"/>
      <c r="N2" s="39"/>
    </row>
    <row r="3" spans="3:14" ht="12.75">
      <c r="C3" s="105"/>
      <c r="D3" s="51" t="s">
        <v>50</v>
      </c>
      <c r="E3" s="40"/>
      <c r="F3" s="40"/>
      <c r="G3" s="41"/>
      <c r="J3" s="105"/>
      <c r="K3" s="51" t="s">
        <v>50</v>
      </c>
      <c r="L3" s="40"/>
      <c r="M3" s="40"/>
      <c r="N3" s="41"/>
    </row>
    <row r="4" spans="3:14" ht="12.75">
      <c r="C4" s="105"/>
      <c r="D4" s="51"/>
      <c r="E4" s="40"/>
      <c r="F4" s="40"/>
      <c r="G4" s="41"/>
      <c r="J4" s="105"/>
      <c r="K4" s="51"/>
      <c r="L4" s="40"/>
      <c r="M4" s="40"/>
      <c r="N4" s="41"/>
    </row>
    <row r="5" spans="3:14" ht="12.75">
      <c r="C5" s="105"/>
      <c r="D5" s="184" t="s">
        <v>55</v>
      </c>
      <c r="E5" s="184"/>
      <c r="F5" s="184"/>
      <c r="G5" s="41"/>
      <c r="J5" s="105"/>
      <c r="K5" s="184" t="s">
        <v>56</v>
      </c>
      <c r="L5" s="184"/>
      <c r="M5" s="184"/>
      <c r="N5" s="41"/>
    </row>
    <row r="6" spans="3:14" ht="12.75">
      <c r="C6" s="42"/>
      <c r="D6" s="43"/>
      <c r="E6" s="43"/>
      <c r="F6" s="43"/>
      <c r="G6" s="44"/>
      <c r="J6" s="42"/>
      <c r="K6" s="43"/>
      <c r="L6" s="43"/>
      <c r="M6" s="43"/>
      <c r="N6" s="44"/>
    </row>
    <row r="7" spans="3:14" ht="12.75">
      <c r="C7" s="144"/>
      <c r="D7" s="89"/>
      <c r="E7" s="89"/>
      <c r="F7" s="89"/>
      <c r="G7" s="144"/>
      <c r="J7" s="144"/>
      <c r="K7" s="89"/>
      <c r="L7" s="89"/>
      <c r="M7" s="89"/>
      <c r="N7" s="144"/>
    </row>
    <row r="8" spans="3:14" ht="25.5">
      <c r="C8" s="148"/>
      <c r="D8" s="142" t="s">
        <v>0</v>
      </c>
      <c r="E8" s="143" t="s">
        <v>51</v>
      </c>
      <c r="F8" s="142" t="s">
        <v>11</v>
      </c>
      <c r="G8" s="145" t="s">
        <v>1</v>
      </c>
      <c r="J8" s="148"/>
      <c r="K8" s="142" t="s">
        <v>0</v>
      </c>
      <c r="L8" s="143" t="s">
        <v>51</v>
      </c>
      <c r="M8" s="142" t="s">
        <v>11</v>
      </c>
      <c r="N8" s="145" t="s">
        <v>1</v>
      </c>
    </row>
    <row r="9" spans="3:14" ht="12.75">
      <c r="C9" s="146"/>
      <c r="D9" s="61"/>
      <c r="E9" s="141"/>
      <c r="F9" s="61"/>
      <c r="G9" s="146"/>
      <c r="J9" s="146"/>
      <c r="K9" s="61"/>
      <c r="L9" s="141"/>
      <c r="M9" s="61"/>
      <c r="N9" s="146"/>
    </row>
    <row r="10" spans="3:14" ht="12.75">
      <c r="C10" s="106"/>
      <c r="D10" s="2"/>
      <c r="E10" s="2"/>
      <c r="F10" s="2"/>
      <c r="G10" s="106"/>
      <c r="J10" s="106"/>
      <c r="K10" s="2"/>
      <c r="L10" s="2"/>
      <c r="M10" s="2"/>
      <c r="N10" s="106"/>
    </row>
    <row r="11" spans="3:14" ht="12.75">
      <c r="C11" s="107">
        <f>+Calculations!B15</f>
        <v>2001</v>
      </c>
      <c r="D11" s="138">
        <f>IF(C11&lt;='Input - Existing Situation'!G3,+'Input - Existing Situation'!F88,+Calculations!BA15)</f>
        <v>19.198999999999998</v>
      </c>
      <c r="E11" s="138">
        <f>IF(C11&lt;='Input - Existing Situation'!G3,+'Input - Existing Situation'!F92+'Input - Existing Situation'!F93,0)</f>
        <v>3</v>
      </c>
      <c r="F11" s="138">
        <f>IF(C11&lt;='Input - Existing Situation'!$G$3,+'Input - Existing Situation'!F94,0)</f>
        <v>1</v>
      </c>
      <c r="G11" s="147">
        <f>+SUM(D11:F11)</f>
        <v>23.198999999999998</v>
      </c>
      <c r="J11" s="107">
        <f>+C11</f>
        <v>2001</v>
      </c>
      <c r="K11" s="149">
        <f>+D11/Calculations!E15/365*1000*1000000</f>
        <v>150.28571428571428</v>
      </c>
      <c r="L11" s="149">
        <f>+E11/Calculations!E15/365*1000000*1000</f>
        <v>23.483365949119374</v>
      </c>
      <c r="M11" s="149">
        <f>+F11/Calculations!E15/365*1000000*1000</f>
        <v>7.827788649706459</v>
      </c>
      <c r="N11" s="117">
        <f>+SUM(K11:M11)</f>
        <v>181.59686888454013</v>
      </c>
    </row>
    <row r="12" spans="3:14" ht="12.75">
      <c r="C12" s="107">
        <f>+Calculations!B16</f>
        <v>2002</v>
      </c>
      <c r="D12" s="138">
        <f>IF(C12&lt;='Input - Existing Situation'!$G$3,+'Input - Existing Situation'!G88,+Calculations!BA16)</f>
        <v>20.072718750000003</v>
      </c>
      <c r="E12" s="138">
        <f>IF(C12&lt;='Input - Existing Situation'!$G$3,+'Input - Existing Situation'!G92+'Input - Existing Situation'!G93,0)</f>
        <v>5</v>
      </c>
      <c r="F12" s="138">
        <f>IF(C12&lt;='Input - Existing Situation'!$G$3,+'Input - Existing Situation'!G94,0)</f>
        <v>2</v>
      </c>
      <c r="G12" s="147">
        <f aca="true" t="shared" si="0" ref="G12:G50">+SUM(D12:F12)</f>
        <v>27.072718750000003</v>
      </c>
      <c r="J12" s="107">
        <f aca="true" t="shared" si="1" ref="J12:J50">+C12</f>
        <v>2002</v>
      </c>
      <c r="K12" s="149">
        <f>+D12/Calculations!E16/365*1000*1000000</f>
        <v>150.56468172484603</v>
      </c>
      <c r="L12" s="149">
        <f>+E12/Calculations!E16/365*1000000*1000</f>
        <v>37.50480530317947</v>
      </c>
      <c r="M12" s="149">
        <f>+F12/Calculations!E16/365*1000000*1000</f>
        <v>15.001922121271788</v>
      </c>
      <c r="N12" s="117">
        <f aca="true" t="shared" si="2" ref="N12:N50">+SUM(K12:M12)</f>
        <v>203.07140914929727</v>
      </c>
    </row>
    <row r="13" spans="3:14" ht="12.75">
      <c r="C13" s="107">
        <f>+Calculations!B17</f>
        <v>2003</v>
      </c>
      <c r="D13" s="138">
        <f>IF(C13&lt;='Input - Existing Situation'!$G$3,+'Input - Existing Situation'!H88,+Calculations!BA17)</f>
        <v>20.946437499999995</v>
      </c>
      <c r="E13" s="138">
        <f>IF(C13&lt;='Input - Existing Situation'!$G$3,+'Input - Existing Situation'!H92+'Input - Existing Situation'!H93,0)</f>
        <v>7</v>
      </c>
      <c r="F13" s="138">
        <f>IF(C13&lt;='Input - Existing Situation'!$G$3,+'Input - Existing Situation'!H94,0)</f>
        <v>3</v>
      </c>
      <c r="G13" s="147">
        <f t="shared" si="0"/>
        <v>30.946437499999995</v>
      </c>
      <c r="J13" s="107">
        <f t="shared" si="1"/>
        <v>2003</v>
      </c>
      <c r="K13" s="149">
        <f>+D13/Calculations!E17/365*1000*1000000</f>
        <v>150.82128777923782</v>
      </c>
      <c r="L13" s="149">
        <f>+E13/Calculations!E17/365*1000000*1000</f>
        <v>50.402318506651305</v>
      </c>
      <c r="M13" s="149">
        <f>+F13/Calculations!E17/365*1000000*1000</f>
        <v>21.600993645707703</v>
      </c>
      <c r="N13" s="117">
        <f t="shared" si="2"/>
        <v>222.82459993159682</v>
      </c>
    </row>
    <row r="14" spans="3:14" ht="12.75">
      <c r="C14" s="107">
        <f>+Calculations!B18</f>
        <v>2004</v>
      </c>
      <c r="D14" s="138">
        <f>IF(C14&lt;='Input - Existing Situation'!$G$3,+'Input - Existing Situation'!I88,+Calculations!BA18)</f>
        <v>21.82015625</v>
      </c>
      <c r="E14" s="138">
        <f>IF(C14&lt;='Input - Existing Situation'!$G$3,+'Input - Existing Situation'!I92+'Input - Existing Situation'!I93,0)</f>
        <v>9</v>
      </c>
      <c r="F14" s="138">
        <f>IF(C14&lt;='Input - Existing Situation'!$G$3,+'Input - Existing Situation'!I94,0)</f>
        <v>4</v>
      </c>
      <c r="G14" s="147">
        <f t="shared" si="0"/>
        <v>34.82015625</v>
      </c>
      <c r="J14" s="107">
        <f t="shared" si="1"/>
        <v>2004</v>
      </c>
      <c r="K14" s="149">
        <f>+D14/Calculations!E18/365*1000*1000000</f>
        <v>151.05811749842076</v>
      </c>
      <c r="L14" s="149">
        <f>+E14/Calculations!E18/365*1000000*1000</f>
        <v>62.30583511453024</v>
      </c>
      <c r="M14" s="149">
        <f>+F14/Calculations!E18/365*1000000*1000</f>
        <v>27.69148227312455</v>
      </c>
      <c r="N14" s="117">
        <f t="shared" si="2"/>
        <v>241.05543488607555</v>
      </c>
    </row>
    <row r="15" spans="3:14" ht="12.75">
      <c r="C15" s="107">
        <f>+Calculations!B19</f>
        <v>2005</v>
      </c>
      <c r="D15" s="138">
        <f>IF(C15&lt;='Input - Existing Situation'!$G$3,+'Input - Existing Situation'!J88,+Calculations!BA19)</f>
        <v>22.693875000000002</v>
      </c>
      <c r="E15" s="138">
        <f>IF(C15&lt;='Input - Existing Situation'!$G$3,+'Input - Existing Situation'!J92+'Input - Existing Situation'!J93,0)</f>
        <v>11</v>
      </c>
      <c r="F15" s="138">
        <f>IF(C15&lt;='Input - Existing Situation'!$G$3,+'Input - Existing Situation'!J94,0)</f>
        <v>5</v>
      </c>
      <c r="G15" s="147">
        <f t="shared" si="0"/>
        <v>38.693875000000006</v>
      </c>
      <c r="J15" s="107">
        <f t="shared" si="1"/>
        <v>2005</v>
      </c>
      <c r="K15" s="149">
        <f>+D15/Calculations!E19/365*1000*1000000</f>
        <v>151.27737226277372</v>
      </c>
      <c r="L15" s="149">
        <f>+E15/Calculations!E19/365*1000000*1000</f>
        <v>73.32600073326</v>
      </c>
      <c r="M15" s="149">
        <f>+F15/Calculations!E19/365*1000000*1000</f>
        <v>33.330000333300006</v>
      </c>
      <c r="N15" s="117">
        <f t="shared" si="2"/>
        <v>257.93337332933373</v>
      </c>
    </row>
    <row r="16" spans="3:14" ht="12.75">
      <c r="C16" s="107">
        <f>+Calculations!B20</f>
        <v>2006</v>
      </c>
      <c r="D16" s="138">
        <f>IF(C16&lt;='Input - Existing Situation'!$G$3,+'Input - Existing Situation'!K88,+Calculations!BA20)</f>
        <v>23.56759375</v>
      </c>
      <c r="E16" s="138">
        <f>IF(C16&lt;='Input - Existing Situation'!$G$3,+'Input - Existing Situation'!K92+'Input - Existing Situation'!K93,0)</f>
        <v>13</v>
      </c>
      <c r="F16" s="138">
        <f>IF(C16&lt;='Input - Existing Situation'!$G$3,+'Input - Existing Situation'!K94,0)</f>
        <v>6</v>
      </c>
      <c r="G16" s="147">
        <f t="shared" si="0"/>
        <v>42.56759375</v>
      </c>
      <c r="J16" s="107">
        <f t="shared" si="1"/>
        <v>2006</v>
      </c>
      <c r="K16" s="149">
        <f>+D16/Calculations!E20/365*1000*1000000</f>
        <v>151.48093841642228</v>
      </c>
      <c r="L16" s="149">
        <f>+E16/Calculations!E20/365*1000000*1000</f>
        <v>83.55762664202788</v>
      </c>
      <c r="M16" s="149">
        <f>+F16/Calculations!E20/365*1000000*1000</f>
        <v>38.56505845016671</v>
      </c>
      <c r="N16" s="117">
        <f t="shared" si="2"/>
        <v>273.60362350861686</v>
      </c>
    </row>
    <row r="17" spans="3:14" ht="12.75">
      <c r="C17" s="107">
        <f>+Calculations!B21</f>
        <v>2007</v>
      </c>
      <c r="D17" s="138">
        <f>IF(C17&lt;='Input - Existing Situation'!$G$3,+'Input - Existing Situation'!L88,+Calculations!BA21)</f>
        <v>24.37949448365933</v>
      </c>
      <c r="E17" s="138">
        <f>IF(C17&lt;='Input - Existing Situation'!$G$3,+'Input - Existing Situation'!L92+'Input - Existing Situation'!L93,+E16*0.33+E16*0.67*(1+'Input - Projection Parameters'!I10/2)*(1+'Input - Projection Parameters'!I12)^'Input - Projection Parameters'!F22)</f>
        <v>13.017458746273647</v>
      </c>
      <c r="F17" s="138">
        <f>IF(C17&lt;='Input - Existing Situation'!$G$3,+'Input - Existing Situation'!L94,+(F20-F16)/COUNT(C17:C20)+F16)</f>
        <v>5.089798679403938</v>
      </c>
      <c r="G17" s="147">
        <f t="shared" si="0"/>
        <v>42.48675190933692</v>
      </c>
      <c r="J17" s="107">
        <f t="shared" si="1"/>
        <v>2007</v>
      </c>
      <c r="K17" s="149">
        <f>+D17/Calculations!E21/365*1000*1000000</f>
        <v>152.92232078940805</v>
      </c>
      <c r="L17" s="149">
        <f>+E17/Calculations!E21/365*1000000*1000</f>
        <v>81.65304672723259</v>
      </c>
      <c r="M17" s="149">
        <f>+F17/Calculations!E21/365*1000000*1000</f>
        <v>31.926167580177246</v>
      </c>
      <c r="N17" s="117">
        <f t="shared" si="2"/>
        <v>266.5015350968179</v>
      </c>
    </row>
    <row r="18" spans="3:14" ht="12.75">
      <c r="C18" s="107">
        <f>+Calculations!B22</f>
        <v>2008</v>
      </c>
      <c r="D18" s="138">
        <f>IF(C18&lt;='Input - Existing Situation'!$G$3,+'Input - Existing Situation'!M88,+Calculations!BA22)</f>
        <v>25.300772401566597</v>
      </c>
      <c r="E18" s="138">
        <f>IF(C18&lt;='Input - Existing Situation'!$G$3,+'Input - Existing Situation'!M92+'Input - Existing Situation'!M93,+E17*0.33+E17*0.67*(1+'Input - Projection Parameters'!J10/2)*(1+'Input - Projection Parameters'!J12)^'Input - Projection Parameters'!$E$22)</f>
        <v>13.082871476473672</v>
      </c>
      <c r="F18" s="138">
        <f>IF(C18&lt;='Input - Existing Situation'!$G$3,+'Input - Existing Situation'!M94,+(F21-F17)/COUNT(C18:C21)+F17)</f>
        <v>4.405674411595668</v>
      </c>
      <c r="G18" s="147">
        <f t="shared" si="0"/>
        <v>42.789318289635936</v>
      </c>
      <c r="J18" s="107">
        <f t="shared" si="1"/>
        <v>2008</v>
      </c>
      <c r="K18" s="149">
        <f>+D18/Calculations!E22/365*1000*1000000</f>
        <v>156.19119871287475</v>
      </c>
      <c r="L18" s="149">
        <f>+E18/Calculations!E22/365*1000000*1000</f>
        <v>80.76549387837557</v>
      </c>
      <c r="M18" s="149">
        <f>+F18/Calculations!E22/365*1000000*1000</f>
        <v>27.197887738919718</v>
      </c>
      <c r="N18" s="117">
        <f t="shared" si="2"/>
        <v>264.15458033017</v>
      </c>
    </row>
    <row r="19" spans="3:14" ht="12.75">
      <c r="C19" s="107">
        <f>+Calculations!B23</f>
        <v>2009</v>
      </c>
      <c r="D19" s="138">
        <f>IF(C19&lt;='Input - Existing Situation'!$G$3,+'Input - Existing Situation'!N88,+Calculations!BA23)</f>
        <v>26.239766659295498</v>
      </c>
      <c r="E19" s="138">
        <f>IF(C19&lt;='Input - Existing Situation'!$G$3,+'Input - Existing Situation'!N92+'Input - Existing Situation'!N93,+E18*0.33+E18*0.67*(1+'Input - Projection Parameters'!K10/2)*(1+'Input - Projection Parameters'!K12)^'Input - Projection Parameters'!$E$22)</f>
        <v>13.148612905642953</v>
      </c>
      <c r="F19" s="138">
        <f>IF(C19&lt;='Input - Existing Situation'!$G$3,+'Input - Existing Situation'!N94,+(F20-F18)/COUNT(C19:C20)+F18)</f>
        <v>3.382434564605709</v>
      </c>
      <c r="G19" s="147">
        <f t="shared" si="0"/>
        <v>42.770814129544156</v>
      </c>
      <c r="J19" s="107">
        <f t="shared" si="1"/>
        <v>2009</v>
      </c>
      <c r="K19" s="149">
        <f>+D19/Calculations!E23/365*1000*1000000</f>
        <v>159.46595648623605</v>
      </c>
      <c r="L19" s="149">
        <f>+E19/Calculations!E23/365*1000000*1000</f>
        <v>79.90757542513587</v>
      </c>
      <c r="M19" s="149">
        <f>+F19/Calculations!E23/365*1000000*1000</f>
        <v>20.555943583662813</v>
      </c>
      <c r="N19" s="117">
        <f t="shared" si="2"/>
        <v>259.92947549503475</v>
      </c>
    </row>
    <row r="20" spans="3:14" ht="12.75">
      <c r="C20" s="107">
        <f>+Calculations!B24</f>
        <v>2010</v>
      </c>
      <c r="D20" s="138">
        <f>IF(C20&lt;='Input - Existing Situation'!$G$3,+'Input - Existing Situation'!O88,+Calculations!BA24)</f>
        <v>27.19677440117745</v>
      </c>
      <c r="E20" s="138">
        <f>IF(C20&lt;='Input - Existing Situation'!$G$3,+'Input - Existing Situation'!O92+'Input - Existing Situation'!O93,+E19*0.33+E19*0.67*(1+'Input - Projection Parameters'!L10/2)*(1+'Input - Projection Parameters'!L12)^'Input - Projection Parameters'!$E$22)</f>
        <v>13.214684685493811</v>
      </c>
      <c r="F20" s="138">
        <f>IF(C20&lt;='Input - Existing Situation'!$G$3,+'Input - Existing Situation'!O94,+'Input - Projection Parameters'!F110*Calculations!C24*365/1000000/1000)</f>
        <v>2.359194717615749</v>
      </c>
      <c r="G20" s="147">
        <f t="shared" si="0"/>
        <v>42.77065380428701</v>
      </c>
      <c r="J20" s="107">
        <f t="shared" si="1"/>
        <v>2010</v>
      </c>
      <c r="K20" s="149">
        <f>+D20/Calculations!E24/365*1000*1000000</f>
        <v>162.74810182785683</v>
      </c>
      <c r="L20" s="149">
        <f>+E20/Calculations!E24/365*1000000*1000</f>
        <v>79.07793832803408</v>
      </c>
      <c r="M20" s="149">
        <f>+F20/Calculations!E24/365*1000000*1000</f>
        <v>14.11764705882353</v>
      </c>
      <c r="N20" s="117">
        <f t="shared" si="2"/>
        <v>255.94368721471443</v>
      </c>
    </row>
    <row r="21" spans="3:14" ht="12.75">
      <c r="C21" s="107">
        <f>+Calculations!B25</f>
        <v>2011</v>
      </c>
      <c r="D21" s="138">
        <f>IF(C21&lt;='Input - Existing Situation'!$G$3,+'Input - Existing Situation'!P88,+Calculations!BA25)</f>
        <v>28.043640719324518</v>
      </c>
      <c r="E21" s="138">
        <f>IF(C21&lt;='Input - Existing Situation'!$G$3,+'Input - Existing Situation'!P92+'Input - Existing Situation'!P93,+E20*0.33+E20*0.67*(1+'Input - Projection Parameters'!M10/2)*(1+'Input - Projection Parameters'!M12)^'Input - Projection Parameters'!$E$22)</f>
        <v>13.28108847603842</v>
      </c>
      <c r="F21" s="138">
        <f>IF(C21&lt;='Input - Existing Situation'!$G$3,+'Input - Existing Situation'!P94,+(F25-F20)/COUNT(C21:C25)+F20)</f>
        <v>2.3533016081708586</v>
      </c>
      <c r="G21" s="147">
        <f t="shared" si="0"/>
        <v>43.678030803533794</v>
      </c>
      <c r="J21" s="107">
        <f t="shared" si="1"/>
        <v>2011</v>
      </c>
      <c r="K21" s="149">
        <f>+D21/Calculations!E25/365*1000*1000000</f>
        <v>164.44046471179124</v>
      </c>
      <c r="L21" s="149">
        <f>+E21/Calculations!E25/365*1000000*1000</f>
        <v>77.87677722504986</v>
      </c>
      <c r="M21" s="149">
        <f>+F21/Calculations!E25/365*1000000*1000</f>
        <v>13.799135922746293</v>
      </c>
      <c r="N21" s="117">
        <f t="shared" si="2"/>
        <v>256.1163778595874</v>
      </c>
    </row>
    <row r="22" spans="3:14" ht="12.75">
      <c r="C22" s="107">
        <f>+Calculations!B26</f>
        <v>2012</v>
      </c>
      <c r="D22" s="138">
        <f>IF(C22&lt;='Input - Existing Situation'!$G$3,+'Input - Existing Situation'!Q88,+Calculations!BA26)</f>
        <v>28.90544184139385</v>
      </c>
      <c r="E22" s="138">
        <f>IF(C22&lt;='Input - Existing Situation'!$G$3,+'Input - Existing Situation'!Q92+'Input - Existing Situation'!Q93,+E21*0.33+E21*0.67*(1+'Input - Projection Parameters'!N10/2)*(1+'Input - Projection Parameters'!N12)^'Input - Projection Parameters'!$E$22)</f>
        <v>13.347825945630515</v>
      </c>
      <c r="F22" s="138">
        <f>IF(C22&lt;='Input - Existing Situation'!$G$3,+'Input - Existing Situation'!Q94,+(F25-F21)/COUNT(C22:C25)+F21)</f>
        <v>2.3474084987259682</v>
      </c>
      <c r="G22" s="147">
        <f t="shared" si="0"/>
        <v>44.60067628575033</v>
      </c>
      <c r="J22" s="107">
        <f t="shared" si="1"/>
        <v>2012</v>
      </c>
      <c r="K22" s="149">
        <f>+D22/Calculations!E26/365*1000*1000000</f>
        <v>166.1519382070694</v>
      </c>
      <c r="L22" s="149">
        <f>+E22/Calculations!E26/365*1000000*1000</f>
        <v>76.72490058744509</v>
      </c>
      <c r="M22" s="149">
        <f>+F22/Calculations!E26/365*1000000*1000</f>
        <v>13.49318491539305</v>
      </c>
      <c r="N22" s="117">
        <f t="shared" si="2"/>
        <v>256.37002370990757</v>
      </c>
    </row>
    <row r="23" spans="3:14" ht="12.75">
      <c r="C23" s="107">
        <f>+Calculations!B27</f>
        <v>2013</v>
      </c>
      <c r="D23" s="138">
        <f>IF(C23&lt;='Input - Existing Situation'!$G$3,+'Input - Existing Situation'!R88,+Calculations!BA27)</f>
        <v>29.782414818076965</v>
      </c>
      <c r="E23" s="138">
        <f>IF(C23&lt;='Input - Existing Situation'!$G$3,+'Input - Existing Situation'!R92+'Input - Existing Situation'!R93,+E22*0.33+E22*0.67*(1+'Input - Projection Parameters'!O10/2)*(1+'Input - Projection Parameters'!O12)^'Input - Projection Parameters'!$E$22)</f>
        <v>13.41489877100731</v>
      </c>
      <c r="F23" s="138">
        <f>IF(C23&lt;='Input - Existing Situation'!$G$3,+'Input - Existing Situation'!R94,+(F25-F22)/COUNT(C23:C25)+F22)</f>
        <v>2.341515389281078</v>
      </c>
      <c r="G23" s="147">
        <f t="shared" si="0"/>
        <v>45.53882897836535</v>
      </c>
      <c r="J23" s="107">
        <f t="shared" si="1"/>
        <v>2013</v>
      </c>
      <c r="K23" s="149">
        <f>+D23/Calculations!E27/365*1000*1000000</f>
        <v>167.88275001169737</v>
      </c>
      <c r="L23" s="149">
        <f>+E23/Calculations!E27/365*1000000*1000</f>
        <v>75.61945901842306</v>
      </c>
      <c r="M23" s="149">
        <f>+F23/Calculations!E27/365*1000000*1000</f>
        <v>13.19906546021978</v>
      </c>
      <c r="N23" s="117">
        <f t="shared" si="2"/>
        <v>256.7012744903402</v>
      </c>
    </row>
    <row r="24" spans="3:14" ht="12.75">
      <c r="C24" s="107">
        <f>+Calculations!B28</f>
        <v>2014</v>
      </c>
      <c r="D24" s="138">
        <f>IF(C24&lt;='Input - Existing Situation'!$G$3,+'Input - Existing Situation'!S88,+Calculations!BA28)</f>
        <v>30.674800330390532</v>
      </c>
      <c r="E24" s="138">
        <f>IF(C24&lt;='Input - Existing Situation'!$G$3,+'Input - Existing Situation'!S92+'Input - Existing Situation'!S93,+E23*0.33+E23*0.67*(1+'Input - Projection Parameters'!P10/2)*(1+'Input - Projection Parameters'!P12)^'Input - Projection Parameters'!$E$22)</f>
        <v>13.482308637331624</v>
      </c>
      <c r="F24" s="138">
        <f>IF(C24&lt;='Input - Existing Situation'!$G$3,+'Input - Existing Situation'!S94,+(F25-F23)/COUNT(C24:C25)+F23)</f>
        <v>2.3356222798361874</v>
      </c>
      <c r="G24" s="147">
        <f t="shared" si="0"/>
        <v>46.49273124755834</v>
      </c>
      <c r="J24" s="107">
        <f t="shared" si="1"/>
        <v>2014</v>
      </c>
      <c r="K24" s="149">
        <f>+D24/Calculations!E28/365*1000*1000000</f>
        <v>169.63313062281387</v>
      </c>
      <c r="L24" s="149">
        <f>+E24/Calculations!E28/365*1000000*1000</f>
        <v>74.55781936770148</v>
      </c>
      <c r="M24" s="149">
        <f>+F24/Calculations!E28/365*1000000*1000</f>
        <v>12.916104261923396</v>
      </c>
      <c r="N24" s="117">
        <f t="shared" si="2"/>
        <v>257.10705425243873</v>
      </c>
    </row>
    <row r="25" spans="3:14" ht="12.75">
      <c r="C25" s="107">
        <f>+Calculations!B29</f>
        <v>2015</v>
      </c>
      <c r="D25" s="138">
        <f>IF(C25&lt;='Input - Existing Situation'!$G$3,+'Input - Existing Situation'!T88,+Calculations!BA29)</f>
        <v>31.582842744133085</v>
      </c>
      <c r="E25" s="138">
        <f>IF(C25&lt;='Input - Existing Situation'!$G$3,+'Input - Existing Situation'!T92+'Input - Existing Situation'!T93,+E24*0.33+E24*0.67*(1+'Input - Projection Parameters'!Q10/2)*(1+'Input - Projection Parameters'!Q12)^'Input - Projection Parameters'!$E$22)</f>
        <v>13.550057238234217</v>
      </c>
      <c r="F25" s="138">
        <f>IF(C25&lt;='Input - Existing Situation'!$G$3,+'Input - Existing Situation'!T94,+'Input - Projection Parameters'!F111*Calculations!C29*365/1000000/1000)</f>
        <v>2.329729170391297</v>
      </c>
      <c r="G25" s="147">
        <f t="shared" si="0"/>
        <v>47.4626291527586</v>
      </c>
      <c r="J25" s="107">
        <f t="shared" si="1"/>
        <v>2015</v>
      </c>
      <c r="K25" s="149">
        <f>+D25/Calculations!E29/365*1000*1000000</f>
        <v>171.4033133716921</v>
      </c>
      <c r="L25" s="149">
        <f>+E25/Calculations!E29/365*1000000*1000</f>
        <v>73.53754460373464</v>
      </c>
      <c r="M25" s="149">
        <f>+F25/Calculations!E29/365*1000000*1000</f>
        <v>12.643678160919542</v>
      </c>
      <c r="N25" s="117">
        <f t="shared" si="2"/>
        <v>257.5845361363463</v>
      </c>
    </row>
    <row r="26" spans="3:14" ht="12.75">
      <c r="C26" s="107">
        <f>+Calculations!B30</f>
        <v>2016</v>
      </c>
      <c r="D26" s="138">
        <f>IF(C26&lt;='Input - Existing Situation'!$G$3,+'Input - Existing Situation'!U88,+Calculations!BA30)</f>
        <v>32.64307489606526</v>
      </c>
      <c r="E26" s="138">
        <f>IF(C26&lt;='Input - Existing Situation'!$G$3,+'Input - Existing Situation'!U92+'Input - Existing Situation'!U93,+E25*0.33+E25*0.67*(1+'Input - Projection Parameters'!R10/2)*(1+'Input - Projection Parameters'!R12)^'Input - Projection Parameters'!$E$22)</f>
        <v>13.618146275856345</v>
      </c>
      <c r="F26" s="138">
        <f>IF(C26&lt;='Input - Existing Situation'!$G$3,+'Input - Existing Situation'!U94,+(F30-F25)/COUNT(C26:C30)+F25)</f>
        <v>2.32010696697583</v>
      </c>
      <c r="G26" s="147">
        <f t="shared" si="0"/>
        <v>48.58132813889743</v>
      </c>
      <c r="J26" s="107">
        <f t="shared" si="1"/>
        <v>2016</v>
      </c>
      <c r="K26" s="149">
        <f>+D26/Calculations!E30/365*1000*1000000</f>
        <v>173.193534459183</v>
      </c>
      <c r="L26" s="149">
        <f>+E26/Calculations!E30/365*1000000*1000</f>
        <v>72.25345326098613</v>
      </c>
      <c r="M26" s="149">
        <f>+F26/Calculations!E30/365*1000000*1000</f>
        <v>12.309732683373976</v>
      </c>
      <c r="N26" s="117">
        <f t="shared" si="2"/>
        <v>257.7567204035431</v>
      </c>
    </row>
    <row r="27" spans="3:14" ht="12.75">
      <c r="C27" s="107">
        <f>+Calculations!B31</f>
        <v>2017</v>
      </c>
      <c r="D27" s="138">
        <f>IF(C27&lt;='Input - Existing Situation'!$G$3,+'Input - Existing Situation'!V88,+Calculations!BA31)</f>
        <v>33.72231329344307</v>
      </c>
      <c r="E27" s="138">
        <f>IF(C27&lt;='Input - Existing Situation'!$G$3,+'Input - Existing Situation'!V92+'Input - Existing Situation'!V93,+E26*0.33+E26*0.67*(1+'Input - Projection Parameters'!S10/2)*(1+'Input - Projection Parameters'!S12)^'Input - Projection Parameters'!$E$22)</f>
        <v>13.686577460892526</v>
      </c>
      <c r="F27" s="138">
        <f>IF(C27&lt;='Input - Existing Situation'!$G$3,+'Input - Existing Situation'!V94,+(F30-F26)/COUNT(C27:C30)+F26)</f>
        <v>2.310484763560363</v>
      </c>
      <c r="G27" s="147">
        <f t="shared" si="0"/>
        <v>49.71937551789596</v>
      </c>
      <c r="J27" s="107">
        <f t="shared" si="1"/>
        <v>2017</v>
      </c>
      <c r="K27" s="149">
        <f>+D27/Calculations!E31/365*1000*1000000</f>
        <v>175.00403299160607</v>
      </c>
      <c r="L27" s="149">
        <f>+E27/Calculations!E31/365*1000000*1000</f>
        <v>71.02734123444397</v>
      </c>
      <c r="M27" s="149">
        <f>+F27/Calculations!E31/365*1000000*1000</f>
        <v>11.990403750484731</v>
      </c>
      <c r="N27" s="117">
        <f t="shared" si="2"/>
        <v>258.0217779765348</v>
      </c>
    </row>
    <row r="28" spans="3:14" ht="12.75">
      <c r="C28" s="107">
        <f>+Calculations!B32</f>
        <v>2018</v>
      </c>
      <c r="D28" s="138">
        <f>IF(C28&lt;='Input - Existing Situation'!$G$3,+'Input - Existing Situation'!W88,+Calculations!BA32)</f>
        <v>34.82086213116119</v>
      </c>
      <c r="E28" s="138">
        <f>IF(C28&lt;='Input - Existing Situation'!$G$3,+'Input - Existing Situation'!W92+'Input - Existing Situation'!W93,+E27*0.33+E27*0.67*(1+'Input - Projection Parameters'!T10/2)*(1+'Input - Projection Parameters'!T12)^'Input - Projection Parameters'!$E$22)</f>
        <v>13.755352512633511</v>
      </c>
      <c r="F28" s="138">
        <f>IF(C28&lt;='Input - Existing Situation'!$G$3,+'Input - Existing Situation'!W94,+(F30-F27)/COUNT(C28:C30)+F27)</f>
        <v>2.300862560144896</v>
      </c>
      <c r="G28" s="147">
        <f t="shared" si="0"/>
        <v>50.87707720393959</v>
      </c>
      <c r="J28" s="107">
        <f t="shared" si="1"/>
        <v>2018</v>
      </c>
      <c r="K28" s="149">
        <f>+D28/Calculations!E32/365*1000*1000000</f>
        <v>176.83505101709304</v>
      </c>
      <c r="L28" s="149">
        <f>+E28/Calculations!E32/365*1000000*1000</f>
        <v>69.85549220944951</v>
      </c>
      <c r="M28" s="149">
        <f>+F28/Calculations!E32/365*1000000*1000</f>
        <v>11.684752280800975</v>
      </c>
      <c r="N28" s="117">
        <f t="shared" si="2"/>
        <v>258.37529550734354</v>
      </c>
    </row>
    <row r="29" spans="3:14" ht="12.75">
      <c r="C29" s="107">
        <f>+Calculations!B33</f>
        <v>2019</v>
      </c>
      <c r="D29" s="138">
        <f>IF(C29&lt;='Input - Existing Situation'!$G$3,+'Input - Existing Situation'!X88,+Calculations!BA33)</f>
        <v>35.93903028611225</v>
      </c>
      <c r="E29" s="138">
        <f>IF(C29&lt;='Input - Existing Situation'!$G$3,+'Input - Existing Situation'!X92+'Input - Existing Situation'!X93,+E28*0.33+E28*0.67*(1+'Input - Projection Parameters'!U10/2)*(1+'Input - Projection Parameters'!U12)^'Input - Projection Parameters'!$E$22)</f>
        <v>13.824473159009496</v>
      </c>
      <c r="F29" s="138">
        <f>IF(C29&lt;='Input - Existing Situation'!$G$3,+'Input - Existing Situation'!X94,+(F30-F28)/COUNT(C29:C30)+F28)</f>
        <v>2.2912403567294293</v>
      </c>
      <c r="G29" s="147">
        <f t="shared" si="0"/>
        <v>52.054743801851174</v>
      </c>
      <c r="J29" s="107">
        <f t="shared" si="1"/>
        <v>2019</v>
      </c>
      <c r="K29" s="149">
        <f>+D29/Calculations!E33/365*1000*1000000</f>
        <v>178.6868335623897</v>
      </c>
      <c r="L29" s="149">
        <f>+E29/Calculations!E33/365*1000000*1000</f>
        <v>68.73450159299988</v>
      </c>
      <c r="M29" s="149">
        <f>+F29/Calculations!E33/365*1000000*1000</f>
        <v>11.391917951457637</v>
      </c>
      <c r="N29" s="117">
        <f t="shared" si="2"/>
        <v>258.8132531068472</v>
      </c>
    </row>
    <row r="30" spans="3:14" ht="12.75">
      <c r="C30" s="107">
        <f>+Calculations!B34</f>
        <v>2020</v>
      </c>
      <c r="D30" s="138">
        <f>IF(C30&lt;='Input - Existing Situation'!$G$3,+'Input - Existing Situation'!Y88,+Calculations!BA34)</f>
        <v>37.07713138764416</v>
      </c>
      <c r="E30" s="138">
        <f>IF(C30&lt;='Input - Existing Situation'!$G$3,+'Input - Existing Situation'!Y92+'Input - Existing Situation'!Y93,+E29*0.33+E29*0.67*(1+'Input - Projection Parameters'!V10/2)*(1+'Input - Projection Parameters'!V13)^'Input - Projection Parameters'!$E$22)</f>
        <v>13.893941136633522</v>
      </c>
      <c r="F30" s="138">
        <f>IF(C30&lt;='Input - Existing Situation'!$G$3,+'Input - Existing Situation'!Y94,+'Input - Projection Parameters'!F112*Calculations!C34*365/1000000/1000)</f>
        <v>2.281618153313962</v>
      </c>
      <c r="G30" s="147">
        <f t="shared" si="0"/>
        <v>53.252690677591644</v>
      </c>
      <c r="J30" s="107">
        <f t="shared" si="1"/>
        <v>2020</v>
      </c>
      <c r="K30" s="149">
        <f>+D30/Calculations!E34/365*1000*1000000</f>
        <v>180.55962867012246</v>
      </c>
      <c r="L30" s="149">
        <f>+E30/Calculations!E34/365*1000000*1000</f>
        <v>67.66124450585461</v>
      </c>
      <c r="M30" s="149">
        <f>+F30/Calculations!E34/365*1000000*1000</f>
        <v>11.111111111111109</v>
      </c>
      <c r="N30" s="117">
        <f t="shared" si="2"/>
        <v>259.3319842870882</v>
      </c>
    </row>
    <row r="31" spans="3:14" ht="12.75">
      <c r="C31" s="107">
        <f>+Calculations!B35</f>
        <v>2021</v>
      </c>
      <c r="D31" s="138">
        <f>IF(C31&lt;='Input - Existing Situation'!$G$3,+'Input - Existing Situation'!Z88,+Calculations!BA35)</f>
        <v>38.22455850616103</v>
      </c>
      <c r="E31" s="138">
        <f>IF(C31&lt;='Input - Existing Situation'!$G$3,+'Input - Existing Situation'!Z92+'Input - Existing Situation'!Z93,+E30*0.33+E30*0.67*(1+'Input - Projection Parameters'!W10/2)*(1+'Input - Projection Parameters'!W12)^'Input - Projection Parameters'!$E$22)</f>
        <v>13.963758190845105</v>
      </c>
      <c r="F31" s="138">
        <f>IF(C31&lt;='Input - Existing Situation'!$G$3,+'Input - Existing Situation'!Z94,+(F35-F30)/COUNT(C31:C35)+F30)</f>
        <v>2.26772565576789</v>
      </c>
      <c r="G31" s="147">
        <f t="shared" si="0"/>
        <v>54.45604235277403</v>
      </c>
      <c r="J31" s="107">
        <f t="shared" si="1"/>
        <v>2021</v>
      </c>
      <c r="K31" s="149">
        <f>+D31/Calculations!E35/365*1000*1000000</f>
        <v>182.453687436536</v>
      </c>
      <c r="L31" s="149">
        <f>+E31/Calculations!E35/365*1000000*1000</f>
        <v>66.65189270874582</v>
      </c>
      <c r="M31" s="149">
        <f>+F31/Calculations!E35/365*1000000*1000</f>
        <v>10.824321435199813</v>
      </c>
      <c r="N31" s="117">
        <f t="shared" si="2"/>
        <v>259.9299015804816</v>
      </c>
    </row>
    <row r="32" spans="3:14" ht="12.75">
      <c r="C32" s="107">
        <f>+Calculations!B36</f>
        <v>2022</v>
      </c>
      <c r="D32" s="138">
        <f>IF(C32&lt;='Input - Existing Situation'!$G$3,+'Input - Existing Situation'!AA88,+Calculations!BA36)</f>
        <v>39.39233096373946</v>
      </c>
      <c r="E32" s="138">
        <f>IF(C32&lt;='Input - Existing Situation'!$G$3,+'Input - Existing Situation'!AA92+'Input - Existing Situation'!AA93,+E31*0.33+E31*0.67*(1+'Input - Projection Parameters'!X10/2)*(1+'Input - Projection Parameters'!X12)^'Input - Projection Parameters'!$E$22)</f>
        <v>14.033926075754103</v>
      </c>
      <c r="F32" s="138">
        <f>IF(C32&lt;='Input - Existing Situation'!$G$3,+'Input - Existing Situation'!AA94,+(F35-F31)/COUNT(C32:C35)+F31)</f>
        <v>2.2538331582218185</v>
      </c>
      <c r="G32" s="147">
        <f t="shared" si="0"/>
        <v>55.68009019771538</v>
      </c>
      <c r="J32" s="107">
        <f t="shared" si="1"/>
        <v>2022</v>
      </c>
      <c r="K32" s="149">
        <f>+D32/Calculations!E36/365*1000*1000000</f>
        <v>184.36926404970535</v>
      </c>
      <c r="L32" s="149">
        <f>+E32/Calculations!E36/365*1000000*1000</f>
        <v>65.68346068925118</v>
      </c>
      <c r="M32" s="149">
        <f>+F32/Calculations!E36/365*1000000*1000</f>
        <v>10.548691852093773</v>
      </c>
      <c r="N32" s="117">
        <f t="shared" si="2"/>
        <v>260.6014165910503</v>
      </c>
    </row>
    <row r="33" spans="3:14" ht="12.75">
      <c r="C33" s="107">
        <f>+Calculations!B37</f>
        <v>2023</v>
      </c>
      <c r="D33" s="138">
        <f>IF(C33&lt;='Input - Existing Situation'!$G$3,+'Input - Existing Situation'!AB88,+Calculations!BA37)</f>
        <v>40.58077316861743</v>
      </c>
      <c r="E33" s="138">
        <f>IF(C33&lt;='Input - Existing Situation'!$G$3,+'Input - Existing Situation'!AB92+'Input - Existing Situation'!AB93,+E32*0.33+E32*0.67*(1+'Input - Projection Parameters'!Y10/2)*(1+'Input - Projection Parameters'!Y12)^'Input - Projection Parameters'!$E$22)</f>
        <v>14.104446554284769</v>
      </c>
      <c r="F33" s="138">
        <f>IF(C33&lt;='Input - Existing Situation'!$G$3,+'Input - Existing Situation'!AB94,+(F35-F32)/COUNT(C33:C35)+F32)</f>
        <v>2.239940660675747</v>
      </c>
      <c r="G33" s="147">
        <f t="shared" si="0"/>
        <v>56.925160383577946</v>
      </c>
      <c r="J33" s="107">
        <f t="shared" si="1"/>
        <v>2023</v>
      </c>
      <c r="K33" s="149">
        <f>+D33/Calculations!E37/365*1000*1000000</f>
        <v>186.3066158282323</v>
      </c>
      <c r="L33" s="149">
        <f>+E33/Calculations!E37/365*1000000*1000</f>
        <v>64.7536136076161</v>
      </c>
      <c r="M33" s="149">
        <f>+F33/Calculations!E37/365*1000000*1000</f>
        <v>10.28358337118324</v>
      </c>
      <c r="N33" s="117">
        <f t="shared" si="2"/>
        <v>261.34381280703167</v>
      </c>
    </row>
    <row r="34" spans="3:14" ht="12.75">
      <c r="C34" s="107">
        <f>+Calculations!B38</f>
        <v>2024</v>
      </c>
      <c r="D34" s="138">
        <f>IF(C34&lt;='Input - Existing Situation'!$G$3,+'Input - Existing Situation'!AC88,+Calculations!BA38)</f>
        <v>41.790214511492564</v>
      </c>
      <c r="E34" s="138">
        <f>IF(C34&lt;='Input - Existing Situation'!$G$3,+'Input - Existing Situation'!AC92+'Input - Existing Situation'!AC93,+E33*0.33+E33*0.67*(1+'Input - Projection Parameters'!Z10/2)*(1+'Input - Projection Parameters'!Z12)^'Input - Projection Parameters'!$E$22)</f>
        <v>14.175321398220053</v>
      </c>
      <c r="F34" s="138">
        <f>IF(C34&lt;='Input - Existing Situation'!$G$3,+'Input - Existing Situation'!AC94,+(F35-F33)/COUNT(C34:C35)+F33)</f>
        <v>2.226048163129675</v>
      </c>
      <c r="G34" s="147">
        <f t="shared" si="0"/>
        <v>58.19158407284229</v>
      </c>
      <c r="J34" s="107">
        <f t="shared" si="1"/>
        <v>2024</v>
      </c>
      <c r="K34" s="149">
        <f>+D34/Calculations!E38/365*1000*1000000</f>
        <v>188.26600326042902</v>
      </c>
      <c r="L34" s="149">
        <f>+E34/Calculations!E38/365*1000000*1000</f>
        <v>63.86019157286231</v>
      </c>
      <c r="M34" s="149">
        <f>+F34/Calculations!E38/365*1000000*1000</f>
        <v>10.028404870293054</v>
      </c>
      <c r="N34" s="117">
        <f t="shared" si="2"/>
        <v>262.1545997035844</v>
      </c>
    </row>
    <row r="35" spans="3:14" ht="12.75">
      <c r="C35" s="107">
        <f>+Calculations!B39</f>
        <v>2025</v>
      </c>
      <c r="D35" s="138">
        <f>IF(C35&lt;='Input - Existing Situation'!$G$3,+'Input - Existing Situation'!AD88,+Calculations!BA39)</f>
        <v>43.0209894403799</v>
      </c>
      <c r="E35" s="138">
        <f>IF(C35&lt;='Input - Existing Situation'!$G$3,+'Input - Existing Situation'!AD92+'Input - Existing Situation'!AD93,+E34*0.33+E34*0.67*(1+'Input - Projection Parameters'!AA10/2)*(1+'Input - Projection Parameters'!AA12)^'Input - Projection Parameters'!$E$22)</f>
        <v>14.246552388246108</v>
      </c>
      <c r="F35" s="138">
        <f>IF(C35&lt;='Input - Existing Situation'!$G$3,+'Input - Existing Situation'!AD94,+'Input - Projection Parameters'!F113*Calculations!C39*365/1000000/1000)</f>
        <v>2.2121556655836034</v>
      </c>
      <c r="G35" s="147">
        <f t="shared" si="0"/>
        <v>59.47969749420961</v>
      </c>
      <c r="J35" s="107">
        <f t="shared" si="1"/>
        <v>2025</v>
      </c>
      <c r="K35" s="149">
        <f>+D35/Calculations!E39/365*1000*1000000</f>
        <v>190.24769004399676</v>
      </c>
      <c r="L35" s="149">
        <f>+E35/Calculations!E39/365*1000000*1000</f>
        <v>63.0011935618251</v>
      </c>
      <c r="M35" s="149">
        <f>+F35/Calculations!E39/365*1000000*1000</f>
        <v>9.782608695652172</v>
      </c>
      <c r="N35" s="117">
        <f t="shared" si="2"/>
        <v>263.03149230147403</v>
      </c>
    </row>
    <row r="36" spans="3:14" ht="12.75">
      <c r="C36" s="107">
        <f>+Calculations!B40</f>
        <v>2026</v>
      </c>
      <c r="D36" s="138">
        <f>IF(C36&lt;='Input - Existing Situation'!$G$3,+'Input - Existing Situation'!AE88,+Calculations!BA40)</f>
        <v>44.45162602155511</v>
      </c>
      <c r="E36" s="138">
        <f>IF(C36&lt;='Input - Existing Situation'!$G$3,+'Input - Existing Situation'!AE92+'Input - Existing Situation'!AE93,+E35*0.33+E35*0.67*(1+'Input - Projection Parameters'!AB10/2)*(1+'Input - Projection Parameters'!AB12)^'Input - Projection Parameters'!$E$22)</f>
        <v>14.318141313997046</v>
      </c>
      <c r="F36" s="138">
        <f>IF(C36&lt;='Input - Existing Situation'!$G$3,+'Input - Existing Situation'!AE94,+(F40-F35)/COUNT(C36:C40)+F35)</f>
        <v>2.1933902947131774</v>
      </c>
      <c r="G36" s="147">
        <f t="shared" si="0"/>
        <v>60.96315763026533</v>
      </c>
      <c r="J36" s="107">
        <f t="shared" si="1"/>
        <v>2026</v>
      </c>
      <c r="K36" s="149">
        <f>+D36/Calculations!E40/365*1000*1000000</f>
        <v>192.25194312620508</v>
      </c>
      <c r="L36" s="149">
        <f>+E36/Calculations!E40/365*1000000*1000</f>
        <v>61.92552974860169</v>
      </c>
      <c r="M36" s="149">
        <f>+F36/Calculations!E40/365*1000000*1000</f>
        <v>9.48634693336727</v>
      </c>
      <c r="N36" s="117">
        <f t="shared" si="2"/>
        <v>263.663819808174</v>
      </c>
    </row>
    <row r="37" spans="3:14" ht="12.75">
      <c r="C37" s="107">
        <f>+Calculations!B41</f>
        <v>2027</v>
      </c>
      <c r="D37" s="138">
        <f>IF(C37&lt;='Input - Existing Situation'!$G$3,+'Input - Existing Situation'!AF88,+Calculations!BA41)</f>
        <v>45.90803817290342</v>
      </c>
      <c r="E37" s="138">
        <f>IF(C37&lt;='Input - Existing Situation'!$G$3,+'Input - Existing Situation'!AF92+'Input - Existing Situation'!AF93,+E36*0.33+E36*0.67*(1+'Input - Projection Parameters'!AC10/2)*(1+'Input - Projection Parameters'!AC12)^'Input - Projection Parameters'!$E$22)</f>
        <v>14.390089974099881</v>
      </c>
      <c r="F37" s="138">
        <f>IF(C37&lt;='Input - Existing Situation'!$G$3,+'Input - Existing Situation'!AF94,+(F40-F36)/COUNT(C37:C40)+F36)</f>
        <v>2.1746249238427513</v>
      </c>
      <c r="G37" s="147">
        <f t="shared" si="0"/>
        <v>62.472753070846046</v>
      </c>
      <c r="J37" s="107">
        <f t="shared" si="1"/>
        <v>2027</v>
      </c>
      <c r="K37" s="149">
        <f>+D37/Calculations!E41/365*1000*1000000</f>
        <v>194.2790327445791</v>
      </c>
      <c r="L37" s="149">
        <f>+E37/Calculations!E41/365*1000000*1000</f>
        <v>60.89767440608494</v>
      </c>
      <c r="M37" s="149">
        <f>+F37/Calculations!E41/365*1000000*1000</f>
        <v>9.202833394779852</v>
      </c>
      <c r="N37" s="117">
        <f t="shared" si="2"/>
        <v>264.3795405454439</v>
      </c>
    </row>
    <row r="38" spans="3:14" ht="12.75">
      <c r="C38" s="107">
        <f>+Calculations!B42</f>
        <v>2028</v>
      </c>
      <c r="D38" s="138">
        <f>IF(C38&lt;='Input - Existing Situation'!$G$3,+'Input - Existing Situation'!AG88,+Calculations!BA42)</f>
        <v>47.390640233389426</v>
      </c>
      <c r="E38" s="138">
        <f>IF(C38&lt;='Input - Existing Situation'!$G$3,+'Input - Existing Situation'!AG92+'Input - Existing Situation'!AG93,+E37*0.33+E37*0.67*(1+'Input - Projection Parameters'!AD10/2)*(1+'Input - Projection Parameters'!AD12)^'Input - Projection Parameters'!$E$22)</f>
        <v>14.462400176219735</v>
      </c>
      <c r="F38" s="138">
        <f>IF(C38&lt;='Input - Existing Situation'!$G$3,+'Input - Existing Situation'!AG94,+(F40-F37)/COUNT(C38:C40)+F37)</f>
        <v>2.1558595529723252</v>
      </c>
      <c r="G38" s="147">
        <f t="shared" si="0"/>
        <v>64.0088999625815</v>
      </c>
      <c r="J38" s="107">
        <f t="shared" si="1"/>
        <v>2028</v>
      </c>
      <c r="K38" s="149">
        <f>+D38/Calculations!E42/365*1000*1000000</f>
        <v>196.32923246809958</v>
      </c>
      <c r="L38" s="149">
        <f>+E38/Calculations!E42/365*1000000*1000</f>
        <v>59.914614199350154</v>
      </c>
      <c r="M38" s="149">
        <f>+F38/Calculations!E42/365*1000000*1000</f>
        <v>8.931262571250663</v>
      </c>
      <c r="N38" s="117">
        <f t="shared" si="2"/>
        <v>265.1751092387004</v>
      </c>
    </row>
    <row r="39" spans="3:14" ht="12.75">
      <c r="C39" s="107">
        <f>+Calculations!B43</f>
        <v>2029</v>
      </c>
      <c r="D39" s="138">
        <f>IF(C39&lt;='Input - Existing Situation'!$G$3,+'Input - Existing Situation'!AH88,+Calculations!BA43)</f>
        <v>48.899852936672126</v>
      </c>
      <c r="E39" s="138">
        <f>IF(C39&lt;='Input - Existing Situation'!$G$3,+'Input - Existing Situation'!AH92+'Input - Existing Situation'!AH93,+E38*0.33+E38*0.67*(1+'Input - Projection Parameters'!AE10/2)*(1+'Input - Projection Parameters'!AE12)^'Input - Projection Parameters'!$E$22)</f>
        <v>14.53507373710524</v>
      </c>
      <c r="F39" s="138">
        <f>IF(C39&lt;='Input - Existing Situation'!$G$3,+'Input - Existing Situation'!AH94,+(F40-F38)/COUNT(C39:C40)+F38)</f>
        <v>2.137094182101899</v>
      </c>
      <c r="G39" s="147">
        <f t="shared" si="0"/>
        <v>65.57202085587927</v>
      </c>
      <c r="J39" s="107">
        <f t="shared" si="1"/>
        <v>2029</v>
      </c>
      <c r="K39" s="149">
        <f>+D39/Calculations!E43/365*1000*1000000</f>
        <v>198.40281923892374</v>
      </c>
      <c r="L39" s="149">
        <f>+E39/Calculations!E43/365*1000000*1000</f>
        <v>58.97358446091832</v>
      </c>
      <c r="M39" s="149">
        <f>+F39/Calculations!E43/365*1000000*1000</f>
        <v>8.670895416745484</v>
      </c>
      <c r="N39" s="117">
        <f t="shared" si="2"/>
        <v>266.04729911658757</v>
      </c>
    </row>
    <row r="40" spans="3:14" ht="12.75">
      <c r="C40" s="107">
        <f>+Calculations!B44</f>
        <v>2030</v>
      </c>
      <c r="D40" s="138">
        <f>IF(C40&lt;='Input - Existing Situation'!$G$3,+'Input - Existing Situation'!AI88,+Calculations!BA44)</f>
        <v>50.436103507478705</v>
      </c>
      <c r="E40" s="138">
        <f>IF(C40&lt;='Input - Existing Situation'!$G$3,+'Input - Existing Situation'!AI92+'Input - Existing Situation'!AI93,+E39*0.33+E39*0.67*(1+'Input - Projection Parameters'!AF10/2)*(1+'Input - Projection Parameters'!AF12)^'Input - Projection Parameters'!$E$22)</f>
        <v>14.608112482634194</v>
      </c>
      <c r="F40" s="138">
        <f>IF(C40&lt;='Input - Existing Situation'!$G$3,+'Input - Existing Situation'!AI94,+'Input - Projection Parameters'!F114*Calculations!C44*365/1000000/1000)</f>
        <v>2.118328811231473</v>
      </c>
      <c r="G40" s="147">
        <f t="shared" si="0"/>
        <v>67.16254480134438</v>
      </c>
      <c r="J40" s="107">
        <f t="shared" si="1"/>
        <v>2030</v>
      </c>
      <c r="K40" s="149">
        <f>+D40/Calculations!E44/365*1000*1000000</f>
        <v>200.5000734146326</v>
      </c>
      <c r="L40" s="149">
        <f>+E40/Calculations!E44/365*1000000*1000</f>
        <v>58.072044062306745</v>
      </c>
      <c r="M40" s="149">
        <f>+F40/Calculations!E44/365*1000000*1000</f>
        <v>8.421052631578949</v>
      </c>
      <c r="N40" s="117">
        <f t="shared" si="2"/>
        <v>266.9931701085183</v>
      </c>
    </row>
    <row r="41" spans="3:14" ht="12.75">
      <c r="C41" s="107">
        <f>+Calculations!B45</f>
        <v>2031</v>
      </c>
      <c r="D41" s="138">
        <f>IF(C41&lt;='Input - Existing Situation'!$G$3,+'Input - Existing Situation'!AJ88,+Calculations!BA45)</f>
        <v>51.87312199591929</v>
      </c>
      <c r="E41" s="138">
        <f>IF(C41&lt;='Input - Existing Situation'!$G$3,+'Input - Existing Situation'!AJ92+'Input - Existing Situation'!AJ93,+E40*0.33+E40*0.67*(1+'Input - Projection Parameters'!AG10/2)*(1+'Input - Projection Parameters'!AG12)^'Input - Projection Parameters'!$E$22)</f>
        <v>14.681518247859431</v>
      </c>
      <c r="F41" s="138">
        <f>IF(C41&lt;='Input - Existing Situation'!$G$3,+'Input - Existing Situation'!AJ94,+(F45-F40)/COUNT(C41:C45)+F40)</f>
        <v>2.0940203540639155</v>
      </c>
      <c r="G41" s="147">
        <f t="shared" si="0"/>
        <v>68.64866059784264</v>
      </c>
      <c r="J41" s="107">
        <f t="shared" si="1"/>
        <v>2031</v>
      </c>
      <c r="K41" s="149">
        <f>+D41/Calculations!E45/365*1000*1000000</f>
        <v>202.62127881101208</v>
      </c>
      <c r="L41" s="149">
        <f>+E41/Calculations!E45/365*1000000*1000</f>
        <v>57.34738700521063</v>
      </c>
      <c r="M41" s="149">
        <f>+F41/Calculations!E45/365*1000000*1000</f>
        <v>8.179439865410389</v>
      </c>
      <c r="N41" s="117">
        <f t="shared" si="2"/>
        <v>268.1481056816331</v>
      </c>
    </row>
    <row r="42" spans="3:14" ht="12.75">
      <c r="C42" s="107">
        <f>+Calculations!B46</f>
        <v>2032</v>
      </c>
      <c r="D42" s="138">
        <f>IF(C42&lt;='Input - Existing Situation'!$G$3,+'Input - Existing Situation'!AK88,+Calculations!BA46)</f>
        <v>53.33536947594047</v>
      </c>
      <c r="E42" s="138">
        <f>IF(C42&lt;='Input - Existing Situation'!$G$3,+'Input - Existing Situation'!AK92+'Input - Existing Situation'!AK93,+E41*0.33+E41*0.67*(1+'Input - Projection Parameters'!AH10/2)*(1+'Input - Projection Parameters'!AH12)^'Input - Projection Parameters'!$E$22)</f>
        <v>14.755292877054925</v>
      </c>
      <c r="F42" s="138">
        <f>IF(C42&lt;='Input - Existing Situation'!$G$3,+'Input - Existing Situation'!AK94,+(F45-F41)/COUNT(C42:C45)+F41)</f>
        <v>2.069711896896358</v>
      </c>
      <c r="G42" s="147">
        <f t="shared" si="0"/>
        <v>70.16037424989176</v>
      </c>
      <c r="J42" s="107">
        <f t="shared" si="1"/>
        <v>2032</v>
      </c>
      <c r="K42" s="149">
        <f>+D42/Calculations!E46/365*1000*1000000</f>
        <v>204.766722745374</v>
      </c>
      <c r="L42" s="149">
        <f>+E42/Calculations!E46/365*1000000*1000</f>
        <v>56.648955379331255</v>
      </c>
      <c r="M42" s="149">
        <f>+F42/Calculations!E46/365*1000000*1000</f>
        <v>7.946098926824872</v>
      </c>
      <c r="N42" s="117">
        <f t="shared" si="2"/>
        <v>269.3617770515301</v>
      </c>
    </row>
    <row r="43" spans="3:14" ht="12.75">
      <c r="C43" s="107">
        <f>+Calculations!B47</f>
        <v>2033</v>
      </c>
      <c r="D43" s="138">
        <f>IF(C43&lt;='Input - Existing Situation'!$G$3,+'Input - Existing Situation'!AL88,+Calculations!BA47)</f>
        <v>54.823247221675665</v>
      </c>
      <c r="E43" s="138">
        <f>IF(C43&lt;='Input - Existing Situation'!$G$3,+'Input - Existing Situation'!AI92+'Input - Existing Situation'!AI93,+E42*0.33+E42*0.67*(1+'Input - Projection Parameters'!AI10/2)*(1+'Input - Projection Parameters'!AI12)^'Input - Projection Parameters'!$E$22)</f>
        <v>14.829438223762129</v>
      </c>
      <c r="F43" s="138">
        <f>IF(C43&lt;='Input - Existing Situation'!$G$3,+'Input - Existing Situation'!AL94,+(F45-F42)/COUNT(C43:C45)+F42)</f>
        <v>2.0454034397288003</v>
      </c>
      <c r="G43" s="147">
        <f t="shared" si="0"/>
        <v>71.6980888851666</v>
      </c>
      <c r="J43" s="107">
        <f t="shared" si="1"/>
        <v>2033</v>
      </c>
      <c r="K43" s="149">
        <f>+D43/Calculations!E47/365*1000*1000000</f>
        <v>206.93669608042433</v>
      </c>
      <c r="L43" s="149">
        <f>+E43/Calculations!E47/365*1000000*1000</f>
        <v>55.97543207073634</v>
      </c>
      <c r="M43" s="149">
        <f>+F43/Calculations!E47/365*1000000*1000</f>
        <v>7.720612174932677</v>
      </c>
      <c r="N43" s="117">
        <f t="shared" si="2"/>
        <v>270.63274032609337</v>
      </c>
    </row>
    <row r="44" spans="3:14" ht="12.75">
      <c r="C44" s="107">
        <f>+Calculations!B48</f>
        <v>2034</v>
      </c>
      <c r="D44" s="138">
        <f>IF(C44&lt;='Input - Existing Situation'!$G$3,+'Input - Existing Situation'!AM88,+Calculations!BA48)</f>
        <v>56.33716266177538</v>
      </c>
      <c r="E44" s="138">
        <f>IF(C44&lt;='Input - Existing Situation'!$G$3,+'Input - Existing Situation'!AM92+'Input - Existing Situation'!AM93,+E43*0.33+E43*0.67*(1+'Input - Projection Parameters'!AJ10/2)*(1+'Input - Projection Parameters'!AJ12)^'Input - Projection Parameters'!$E$22)</f>
        <v>14.903956150836535</v>
      </c>
      <c r="F44" s="138">
        <f>IF(C44&lt;='Input - Existing Situation'!$G$3,+'Input - Existing Situation'!AM94,+(F45-F43)/COUNT(C44:C45)+F43)</f>
        <v>2.0210949825612428</v>
      </c>
      <c r="G44" s="147">
        <f t="shared" si="0"/>
        <v>73.26221379517315</v>
      </c>
      <c r="J44" s="107">
        <f t="shared" si="1"/>
        <v>2034</v>
      </c>
      <c r="K44" s="149">
        <f>+D44/Calculations!E48/365*1000*1000000</f>
        <v>209.13149326868574</v>
      </c>
      <c r="L44" s="149">
        <f>+E44/Calculations!E48/365*1000000*1000</f>
        <v>55.32558719983706</v>
      </c>
      <c r="M44" s="149">
        <f>+F44/Calculations!E48/365*1000000*1000</f>
        <v>7.502589618835468</v>
      </c>
      <c r="N44" s="117">
        <f t="shared" si="2"/>
        <v>271.9596700873583</v>
      </c>
    </row>
    <row r="45" spans="3:14" ht="12.75">
      <c r="C45" s="107">
        <f>+Calculations!B49</f>
        <v>2035</v>
      </c>
      <c r="D45" s="138">
        <f>IF(C45&lt;='Input - Existing Situation'!$G$3,+'Input - Existing Situation'!AN88,+Calculations!BA49)</f>
        <v>57.87752947175494</v>
      </c>
      <c r="E45" s="138">
        <f>IF(C45&lt;='Input - Existing Situation'!$G$3,+'Input - Existing Situation'!AN92+'Input - Existing Situation'!AN93,+E44*0.33+E44*0.67*(1+'Input - Projection Parameters'!AK10/2)*(1+'Input - Projection Parameters'!AK12)^'Input - Projection Parameters'!$E$22)</f>
        <v>14.978848530494492</v>
      </c>
      <c r="F45" s="138">
        <f>IF(C45&lt;='Input - Existing Situation'!$G$3,+'Input - Existing Situation'!AN94,+'Input - Projection Parameters'!F115*Calculations!C49*365/1000000/1000)</f>
        <v>1.9967865253936854</v>
      </c>
      <c r="G45" s="147">
        <f t="shared" si="0"/>
        <v>74.85316452764312</v>
      </c>
      <c r="J45" s="107">
        <f t="shared" si="1"/>
        <v>2035</v>
      </c>
      <c r="K45" s="149">
        <f>+D45/Calculations!E49/365*1000*1000000</f>
        <v>211.3514123974806</v>
      </c>
      <c r="L45" s="149">
        <f>+E45/Calculations!E49/365*1000000*1000</f>
        <v>54.69827101989371</v>
      </c>
      <c r="M45" s="149">
        <f>+F45/Calculations!E49/365*1000000*1000</f>
        <v>7.291666666666668</v>
      </c>
      <c r="N45" s="117">
        <f t="shared" si="2"/>
        <v>273.341350084041</v>
      </c>
    </row>
    <row r="46" spans="3:14" ht="12.75">
      <c r="C46" s="107">
        <f>+Calculations!B50</f>
        <v>2036</v>
      </c>
      <c r="D46" s="138">
        <f>IF(C46&lt;='Input - Existing Situation'!$G$3,+'Input - Existing Situation'!AO88,+Calculations!BA50)</f>
        <v>59.52778780195635</v>
      </c>
      <c r="E46" s="138">
        <f>IF(C46&lt;='Input - Existing Situation'!$G$3,+'Input - Existing Situation'!AO92+'Input - Existing Situation'!AO93,+E45*0.33+E45*0.67*(1+'Input - Projection Parameters'!AL10/2)*(1+'Input - Projection Parameters'!AL12)^'Input - Projection Parameters'!$E$22)</f>
        <v>15.054117244360228</v>
      </c>
      <c r="F46" s="138">
        <f>IF(C46&lt;='Input - Existing Situation'!$G$3,+'Input - Existing Situation'!AO94,+(F50-F45)/COUNT(C46:C50)+F45)</f>
        <v>1.9661902802541158</v>
      </c>
      <c r="G46" s="147">
        <f t="shared" si="0"/>
        <v>76.54809532657069</v>
      </c>
      <c r="J46" s="107">
        <f t="shared" si="1"/>
        <v>2036</v>
      </c>
      <c r="K46" s="149">
        <f>+D46/Calculations!E50/365*1000*1000000</f>
        <v>213.5967552344826</v>
      </c>
      <c r="L46" s="149">
        <f>+E46/Calculations!E50/365*1000000*1000</f>
        <v>54.01696779011061</v>
      </c>
      <c r="M46" s="149">
        <f>+F46/Calculations!E50/365*1000000*1000</f>
        <v>7.055055790634555</v>
      </c>
      <c r="N46" s="117">
        <f t="shared" si="2"/>
        <v>274.6687788152278</v>
      </c>
    </row>
    <row r="47" spans="3:14" ht="12.75">
      <c r="C47" s="107">
        <f>+Calculations!B51</f>
        <v>2037</v>
      </c>
      <c r="D47" s="138">
        <f>IF(C47&lt;='Input - Existing Situation'!$G$3,+'Input - Existing Situation'!AP88,+Calculations!BA51)</f>
        <v>61.20710939656562</v>
      </c>
      <c r="E47" s="138">
        <f>IF(C47&lt;='Input - Existing Situation'!$G$3,+'Input - Existing Situation'!AP92+'Input - Existing Situation'!AP93,+E46*0.33+E46*0.67*(1+'Input - Projection Parameters'!AM10/2)*(1+'Input - Projection Parameters'!AM12)^'Input - Projection Parameters'!$E$22)</f>
        <v>15.12976418351314</v>
      </c>
      <c r="F47" s="138">
        <f>IF(C47&lt;='Input - Existing Situation'!$G$3,+'Input - Existing Situation'!AP94,+(F50-F46)/COUNT(C47:C50)+F46)</f>
        <v>1.9355940351145464</v>
      </c>
      <c r="G47" s="147">
        <f t="shared" si="0"/>
        <v>78.2724676151933</v>
      </c>
      <c r="J47" s="107">
        <f t="shared" si="1"/>
        <v>2037</v>
      </c>
      <c r="K47" s="149">
        <f>+D47/Calculations!E51/365*1000*1000000</f>
        <v>215.86782727384406</v>
      </c>
      <c r="L47" s="149">
        <f>+E47/Calculations!E51/365*1000000*1000</f>
        <v>53.36029349629548</v>
      </c>
      <c r="M47" s="149">
        <f>+F47/Calculations!E51/365*1000000*1000</f>
        <v>6.826535070251734</v>
      </c>
      <c r="N47" s="117">
        <f t="shared" si="2"/>
        <v>276.05465584039126</v>
      </c>
    </row>
    <row r="48" spans="3:14" ht="12.75">
      <c r="C48" s="107">
        <f>+Calculations!B52</f>
        <v>2038</v>
      </c>
      <c r="D48" s="138">
        <f>IF(C48&lt;='Input - Existing Situation'!$G$3,+'Input - Existing Situation'!AQ88,+Calculations!BA52)</f>
        <v>62.91595760115316</v>
      </c>
      <c r="E48" s="138">
        <f>IF(C48&lt;='Input - Existing Situation'!$G$3,+'Input - Existing Situation'!AQ92+'Input - Existing Situation'!AQ93,+E47*0.33+E47*0.67*(1+'Input - Projection Parameters'!AN10/2)*(1+'Input - Projection Parameters'!AN12)^'Input - Projection Parameters'!$E$22)</f>
        <v>15.205791248535297</v>
      </c>
      <c r="F48" s="138">
        <f>IF(C48&lt;='Input - Existing Situation'!$G$3,+'Input - Existing Situation'!AQ94,+(F50-F47)/COUNT(C48:C50)+F47)</f>
        <v>1.9049977899749768</v>
      </c>
      <c r="G48" s="147">
        <f t="shared" si="0"/>
        <v>80.02674663966343</v>
      </c>
      <c r="J48" s="107">
        <f t="shared" si="1"/>
        <v>2038</v>
      </c>
      <c r="K48" s="149">
        <f>+D48/Calculations!E52/365*1000*1000000</f>
        <v>218.16493778290462</v>
      </c>
      <c r="L48" s="149">
        <f>+E48/Calculations!E52/365*1000000*1000</f>
        <v>52.72701279866932</v>
      </c>
      <c r="M48" s="149">
        <f>+F48/Calculations!E52/365*1000000*1000</f>
        <v>6.605696554141683</v>
      </c>
      <c r="N48" s="117">
        <f t="shared" si="2"/>
        <v>277.4976471357156</v>
      </c>
    </row>
    <row r="49" spans="3:14" ht="12.75">
      <c r="C49" s="107">
        <f>+Calculations!B53</f>
        <v>2039</v>
      </c>
      <c r="D49" s="138">
        <f>IF(C49&lt;='Input - Existing Situation'!$G$3,+'Input - Existing Situation'!AR88,+Calculations!BA53)</f>
        <v>64.65480287812044</v>
      </c>
      <c r="E49" s="138">
        <f>IF(C49&lt;='Input - Existing Situation'!$G$3,+'Input - Existing Situation'!AR92+'Input - Existing Situation'!AR93,+E48*0.33+E48*0.67*(1+'Input - Projection Parameters'!AO10/2)*(1+'Input - Projection Parameters'!AO12)^'Input - Projection Parameters'!$E$22)</f>
        <v>15.282200349559186</v>
      </c>
      <c r="F49" s="138">
        <f>IF(C49&lt;='Input - Existing Situation'!$G$3,+'Input - Existing Situation'!AR94,+(F50-F48)/COUNT(C49:C50)+F48)</f>
        <v>1.8744015448354072</v>
      </c>
      <c r="G49" s="147">
        <f t="shared" si="0"/>
        <v>81.81140477251503</v>
      </c>
      <c r="J49" s="107">
        <f t="shared" si="1"/>
        <v>2039</v>
      </c>
      <c r="K49" s="149">
        <f>+D49/Calculations!E53/365*1000*1000000</f>
        <v>220.48839984949188</v>
      </c>
      <c r="L49" s="149">
        <f>+E49/Calculations!E53/365*1000000*1000</f>
        <v>52.11597207411679</v>
      </c>
      <c r="M49" s="149">
        <f>+F49/Calculations!E53/365*1000000*1000</f>
        <v>6.392159265805019</v>
      </c>
      <c r="N49" s="117">
        <f t="shared" si="2"/>
        <v>278.99653118941364</v>
      </c>
    </row>
    <row r="50" spans="3:14" ht="12.75">
      <c r="C50" s="107">
        <f>+Calculations!B54</f>
        <v>2040</v>
      </c>
      <c r="D50" s="138">
        <f>IF(C50&lt;='Input - Existing Situation'!$G$3,+'Input - Existing Situation'!AS88,+Calculations!BA54)</f>
        <v>66.4241229135737</v>
      </c>
      <c r="E50" s="138">
        <f>IF(C50&lt;='Input - Existing Situation'!$G$3,+'Input - Existing Situation'!AS92+'Input - Existing Situation'!AS93,+E49*0.33+E49*0.67*(1+'Input - Projection Parameters'!AP10/2)*(1+'Input - Projection Parameters'!AP12)^'Input - Projection Parameters'!$E$22)</f>
        <v>15.358993406315724</v>
      </c>
      <c r="F50" s="138">
        <f>IF(C50&lt;='Input - Existing Situation'!$G$3,+'Input - Existing Situation'!AS94,+'Input - Projection Parameters'!F116*Calculations!C54*365/1000000/1000)</f>
        <v>1.8438052996958378</v>
      </c>
      <c r="G50" s="147">
        <f t="shared" si="0"/>
        <v>83.62692161958526</v>
      </c>
      <c r="J50" s="107">
        <f t="shared" si="1"/>
        <v>2040</v>
      </c>
      <c r="K50" s="149">
        <f>+D50/Calculations!E54/365*1000*1000000</f>
        <v>222.8385304298177</v>
      </c>
      <c r="L50" s="149">
        <f>+E50/Calculations!E54/365*1000000*1000</f>
        <v>51.52609277201695</v>
      </c>
      <c r="M50" s="149">
        <f>+F50/Calculations!E54/365*1000000*1000</f>
        <v>6.185567010309279</v>
      </c>
      <c r="N50" s="117">
        <f t="shared" si="2"/>
        <v>280.55019021214395</v>
      </c>
    </row>
    <row r="51" spans="3:14" ht="12.75">
      <c r="C51" s="108"/>
      <c r="D51" s="8"/>
      <c r="E51" s="8"/>
      <c r="F51" s="8"/>
      <c r="G51" s="108"/>
      <c r="J51" s="108"/>
      <c r="K51" s="8"/>
      <c r="L51" s="8"/>
      <c r="M51" s="8"/>
      <c r="N51" s="108"/>
    </row>
    <row r="54" spans="3:7" ht="12.75">
      <c r="C54" s="37"/>
      <c r="D54" s="38"/>
      <c r="E54" s="38"/>
      <c r="F54" s="38"/>
      <c r="G54" s="39"/>
    </row>
    <row r="55" spans="3:7" ht="12.75">
      <c r="C55" s="105"/>
      <c r="D55" s="51" t="s">
        <v>57</v>
      </c>
      <c r="E55" s="40"/>
      <c r="F55" s="40"/>
      <c r="G55" s="41"/>
    </row>
    <row r="56" spans="3:7" ht="12.75">
      <c r="C56" s="105"/>
      <c r="D56" s="51"/>
      <c r="E56" s="40"/>
      <c r="F56" s="40"/>
      <c r="G56" s="41"/>
    </row>
    <row r="57" spans="3:7" ht="12.75">
      <c r="C57" s="105"/>
      <c r="D57" s="184" t="s">
        <v>55</v>
      </c>
      <c r="E57" s="184"/>
      <c r="F57" s="184"/>
      <c r="G57" s="41"/>
    </row>
    <row r="58" spans="3:7" ht="12.75">
      <c r="C58" s="42"/>
      <c r="D58" s="43"/>
      <c r="E58" s="43"/>
      <c r="F58" s="43"/>
      <c r="G58" s="44"/>
    </row>
    <row r="59" spans="3:9" ht="12.75">
      <c r="C59" s="144"/>
      <c r="D59" s="89"/>
      <c r="E59" s="89"/>
      <c r="F59" s="89"/>
      <c r="G59" s="144"/>
      <c r="I59" s="144"/>
    </row>
    <row r="60" spans="3:9" ht="25.5">
      <c r="C60" s="148"/>
      <c r="D60" s="142" t="s">
        <v>58</v>
      </c>
      <c r="E60" s="143" t="str">
        <f>IF('Input - Projection Parameters'!A126=1,"Unaccounted for Water","Technical Losses")</f>
        <v>Technical Losses</v>
      </c>
      <c r="F60" s="143" t="str">
        <f>IF('Input - Projection Parameters'!A126=1," ","Non Technical Losses")</f>
        <v>Non Technical Losses</v>
      </c>
      <c r="G60" s="145" t="s">
        <v>65</v>
      </c>
      <c r="I60" s="148" t="s">
        <v>72</v>
      </c>
    </row>
    <row r="61" spans="3:9" ht="12.75">
      <c r="C61" s="146"/>
      <c r="D61" s="61"/>
      <c r="E61" s="141"/>
      <c r="F61" s="61"/>
      <c r="G61" s="146"/>
      <c r="I61" s="146"/>
    </row>
    <row r="62" spans="3:9" ht="12.75">
      <c r="C62" s="106"/>
      <c r="D62" s="2"/>
      <c r="E62" s="2"/>
      <c r="F62" s="2"/>
      <c r="G62" s="106"/>
      <c r="I62" s="106"/>
    </row>
    <row r="63" spans="3:9" ht="12.75">
      <c r="C63" s="107">
        <f>+C11</f>
        <v>2001</v>
      </c>
      <c r="D63" s="138">
        <f>+G11</f>
        <v>23.198999999999998</v>
      </c>
      <c r="E63" s="138">
        <f>IF(C63&lt;='Input - Existing Situation'!$G$3,+'Input - Existing Situation'!F111-'Input - Existing Situation'!F96,0)</f>
        <v>6.801000000000002</v>
      </c>
      <c r="F63" s="138">
        <f>IF(C63&lt;='Input - Existing Situation'!$G$3,0,+IF('Input - Projection Parameters'!$A$126=2,+('Output - Consumption Projection'!D63*(1-Calculations!D64)*Calculations!D64),0))</f>
        <v>0</v>
      </c>
      <c r="G63" s="147">
        <f>+SUM(D63:F63)</f>
        <v>30</v>
      </c>
      <c r="I63" s="159">
        <f>+G63/365*1000000</f>
        <v>82191.7808219178</v>
      </c>
    </row>
    <row r="64" spans="3:9" ht="12.75">
      <c r="C64" s="107">
        <f aca="true" t="shared" si="3" ref="C64:C102">+C12</f>
        <v>2002</v>
      </c>
      <c r="D64" s="138">
        <f aca="true" t="shared" si="4" ref="D64:D102">+G12</f>
        <v>27.072718750000003</v>
      </c>
      <c r="E64" s="138">
        <f>IF(C64&lt;='Input - Existing Situation'!$G$3,+'Input - Existing Situation'!G111-'Input - Existing Situation'!G96,0)</f>
        <v>7.9272812499999965</v>
      </c>
      <c r="F64" s="138">
        <f>IF(C64&lt;='Input - Existing Situation'!$G$3,0,+IF('Input - Projection Parameters'!$A$126=2,+('Output - Consumption Projection'!D64*(1-Calculations!D65)*Calculations!D65),0))</f>
        <v>0</v>
      </c>
      <c r="G64" s="147">
        <f aca="true" t="shared" si="5" ref="G64:G102">+SUM(D64:F64)</f>
        <v>35</v>
      </c>
      <c r="I64" s="159">
        <f aca="true" t="shared" si="6" ref="I64:I102">+G64/365*1000000</f>
        <v>95890.4109589041</v>
      </c>
    </row>
    <row r="65" spans="3:9" ht="12.75">
      <c r="C65" s="107">
        <f t="shared" si="3"/>
        <v>2003</v>
      </c>
      <c r="D65" s="138">
        <f t="shared" si="4"/>
        <v>30.946437499999995</v>
      </c>
      <c r="E65" s="138">
        <f>IF(C65&lt;='Input - Existing Situation'!$G$3,+'Input - Existing Situation'!H111-'Input - Existing Situation'!H96,0)</f>
        <v>7.053562500000005</v>
      </c>
      <c r="F65" s="138">
        <f>IF(C65&lt;='Input - Existing Situation'!$G$3,0,+IF('Input - Projection Parameters'!$A$126=2,+('Output - Consumption Projection'!D65*(1-Calculations!D66)*Calculations!D66),0))</f>
        <v>0</v>
      </c>
      <c r="G65" s="147">
        <f t="shared" si="5"/>
        <v>38</v>
      </c>
      <c r="I65" s="159">
        <f t="shared" si="6"/>
        <v>104109.5890410959</v>
      </c>
    </row>
    <row r="66" spans="3:9" ht="12.75">
      <c r="C66" s="107">
        <f t="shared" si="3"/>
        <v>2004</v>
      </c>
      <c r="D66" s="138">
        <f t="shared" si="4"/>
        <v>34.82015625</v>
      </c>
      <c r="E66" s="138">
        <f>IF(C66&lt;='Input - Existing Situation'!$G$3,+'Input - Existing Situation'!I111-'Input - Existing Situation'!I96,0)</f>
        <v>5.179843750000003</v>
      </c>
      <c r="F66" s="138">
        <f>IF(C66&lt;='Input - Existing Situation'!$G$3,0,+IF('Input - Projection Parameters'!$A$126=2,+('Output - Consumption Projection'!D66*(1-Calculations!D67)*Calculations!D67),0))</f>
        <v>0</v>
      </c>
      <c r="G66" s="147">
        <f t="shared" si="5"/>
        <v>40</v>
      </c>
      <c r="I66" s="159">
        <f t="shared" si="6"/>
        <v>109589.04109589041</v>
      </c>
    </row>
    <row r="67" spans="3:9" ht="12.75">
      <c r="C67" s="107">
        <f t="shared" si="3"/>
        <v>2005</v>
      </c>
      <c r="D67" s="138">
        <f t="shared" si="4"/>
        <v>38.693875000000006</v>
      </c>
      <c r="E67" s="138">
        <f>IF(C67&lt;='Input - Existing Situation'!$G$3,+'Input - Existing Situation'!J111-'Input - Existing Situation'!J96,0)</f>
        <v>4.306124999999994</v>
      </c>
      <c r="F67" s="138">
        <f>IF(C67&lt;='Input - Existing Situation'!$G$3,0,+IF('Input - Projection Parameters'!$A$126=2,+('Output - Consumption Projection'!D67*(1-Calculations!D68)*Calculations!D68),0))</f>
        <v>0</v>
      </c>
      <c r="G67" s="147">
        <f t="shared" si="5"/>
        <v>43</v>
      </c>
      <c r="I67" s="159">
        <f t="shared" si="6"/>
        <v>117808.21917808219</v>
      </c>
    </row>
    <row r="68" spans="3:9" ht="12.75">
      <c r="C68" s="107">
        <f t="shared" si="3"/>
        <v>2006</v>
      </c>
      <c r="D68" s="138">
        <f t="shared" si="4"/>
        <v>42.56759375</v>
      </c>
      <c r="E68" s="138">
        <f>IF(C68&lt;='Input - Existing Situation'!$G$3,+'Input - Existing Situation'!K111-'Input - Existing Situation'!K96,+D68*(1-Calculations!C69)*Calculations!C69)</f>
        <v>5.43240625</v>
      </c>
      <c r="F68" s="138">
        <f>IF(C68&lt;='Input - Existing Situation'!$G$3,0,+IF('Input - Projection Parameters'!$A$126=2,+('Output - Consumption Projection'!D68*(1-Calculations!D69)*Calculations!D69),0))</f>
        <v>0</v>
      </c>
      <c r="G68" s="147">
        <f t="shared" si="5"/>
        <v>48</v>
      </c>
      <c r="I68" s="159">
        <f t="shared" si="6"/>
        <v>131506.84931506848</v>
      </c>
    </row>
    <row r="69" spans="3:9" ht="12.75">
      <c r="C69" s="107">
        <f t="shared" si="3"/>
        <v>2007</v>
      </c>
      <c r="D69" s="138">
        <f t="shared" si="4"/>
        <v>42.48675190933692</v>
      </c>
      <c r="E69" s="138">
        <f>IF(C69&lt;='Input - Existing Situation'!$G$3,+'Input - Existing Situation'!L111-'Input - Existing Situation'!L96,+D69*(1-Calculations!C70)*Calculations!C70)</f>
        <v>6.797880305493907</v>
      </c>
      <c r="F69" s="138">
        <f>IF(C69&lt;='Input - Existing Situation'!$G$3,0,+IF('Input - Projection Parameters'!$A$126=2,+('Output - Consumption Projection'!D69*(1-Calculations!D70)*Calculations!D70),0))</f>
        <v>6.134024806910516</v>
      </c>
      <c r="G69" s="147">
        <f t="shared" si="5"/>
        <v>55.41865702174134</v>
      </c>
      <c r="I69" s="159">
        <f t="shared" si="6"/>
        <v>151831.93704586668</v>
      </c>
    </row>
    <row r="70" spans="3:9" ht="12.75">
      <c r="C70" s="107">
        <f t="shared" si="3"/>
        <v>2008</v>
      </c>
      <c r="D70" s="138">
        <f t="shared" si="4"/>
        <v>42.789318289635936</v>
      </c>
      <c r="E70" s="138">
        <f>IF(C70&lt;='Input - Existing Situation'!$G$3,+'Input - Existing Situation'!M111-'Input - Existing Situation'!M96,+D70*(1-Calculations!C71)*Calculations!C71)</f>
        <v>6.846290926341751</v>
      </c>
      <c r="F70" s="138">
        <f>IF(C70&lt;='Input - Existing Situation'!$G$3,0,+IF('Input - Projection Parameters'!$A$126=2,+('Output - Consumption Projection'!D70*(1-Calculations!D71)*Calculations!D71),0))</f>
        <v>6.84629092634175</v>
      </c>
      <c r="G70" s="147">
        <f t="shared" si="5"/>
        <v>56.48190014231944</v>
      </c>
      <c r="I70" s="159">
        <f t="shared" si="6"/>
        <v>154744.93189676557</v>
      </c>
    </row>
    <row r="71" spans="3:9" ht="12.75">
      <c r="C71" s="107">
        <f t="shared" si="3"/>
        <v>2009</v>
      </c>
      <c r="D71" s="138">
        <f t="shared" si="4"/>
        <v>42.770814129544156</v>
      </c>
      <c r="E71" s="160">
        <f>IF(C71&lt;='Input - Existing Situation'!$G$3,+'Input - Existing Situation'!N111-'Input - Existing Situation'!N96,+D71*(1-Calculations!C72)*Calculations!C72)</f>
        <v>6.843330260727065</v>
      </c>
      <c r="F71" s="138">
        <f>IF(C71&lt;='Input - Existing Situation'!$G$3,0,+IF('Input - Projection Parameters'!$A$126=2,+('Output - Consumption Projection'!D71*(1-Calculations!D72)*Calculations!D72),0))</f>
        <v>7.458160713839262</v>
      </c>
      <c r="G71" s="147">
        <f t="shared" si="5"/>
        <v>57.072305104110484</v>
      </c>
      <c r="I71" s="159">
        <f t="shared" si="6"/>
        <v>156362.47973728902</v>
      </c>
    </row>
    <row r="72" spans="3:9" ht="12.75">
      <c r="C72" s="107">
        <f t="shared" si="3"/>
        <v>2010</v>
      </c>
      <c r="D72" s="138">
        <f t="shared" si="4"/>
        <v>42.77065380428701</v>
      </c>
      <c r="E72" s="138">
        <f>IF(C72&lt;='Input - Existing Situation'!$G$3,+'Input - Existing Situation'!O111-'Input - Existing Situation'!O96,D72*(1-Calculations!C73)*Calculations!C73)</f>
        <v>6.843304608685923</v>
      </c>
      <c r="F72" s="138">
        <f>IF(C72&lt;='Input - Existing Situation'!$G$3,0,+IF('Input - Projection Parameters'!$A$126=2,+('Output - Consumption Projection'!D72*(1-Calculations!D73)*Calculations!D73),0))</f>
        <v>8.019497588303814</v>
      </c>
      <c r="G72" s="147">
        <f t="shared" si="5"/>
        <v>57.63345600127675</v>
      </c>
      <c r="I72" s="159">
        <f t="shared" si="6"/>
        <v>157899.87945555273</v>
      </c>
    </row>
    <row r="73" spans="3:9" ht="12.75">
      <c r="C73" s="107">
        <f t="shared" si="3"/>
        <v>2011</v>
      </c>
      <c r="D73" s="138">
        <f t="shared" si="4"/>
        <v>43.678030803533794</v>
      </c>
      <c r="E73" s="138">
        <f>IF(C73&lt;='Input - Existing Situation'!$G$3,+'Input - Existing Situation'!P111-'Input - Existing Situation'!P96,+IF('Input - Projection Parameters'!$A$126=1,+D73*(1-Calculations!C74)*Calculations!C74,+D73*(1-Calculations!C74)*(Calculations!C74)))</f>
        <v>6.722048940663851</v>
      </c>
      <c r="F73" s="138">
        <f>IF(C73&lt;='Input - Existing Situation'!$G$3,0,+IF('Input - Projection Parameters'!$A$126=2,+('Output - Consumption Projection'!D73*(1-Calculations!D74)*Calculations!D74),0))</f>
        <v>7.966872818564563</v>
      </c>
      <c r="G73" s="147">
        <f t="shared" si="5"/>
        <v>58.36695256276221</v>
      </c>
      <c r="I73" s="159">
        <f t="shared" si="6"/>
        <v>159909.45907606086</v>
      </c>
    </row>
    <row r="74" spans="3:9" ht="12.75">
      <c r="C74" s="107">
        <f t="shared" si="3"/>
        <v>2012</v>
      </c>
      <c r="D74" s="138">
        <f t="shared" si="4"/>
        <v>44.60067628575033</v>
      </c>
      <c r="E74" s="138">
        <f>IF(C74&lt;='Input - Existing Situation'!$G$3,+'Input - Existing Situation'!Q111-'Input - Existing Situation'!Q96,+D74*(1-Calculations!C75)*Calculations!C75)</f>
        <v>6.583059819776749</v>
      </c>
      <c r="F74" s="138">
        <f>IF(C74&lt;='Input - Existing Situation'!$G$3,0,+IF('Input - Projection Parameters'!$A$126=2,+('Output - Consumption Projection'!D74*(1-Calculations!D75)*Calculations!D75),0))</f>
        <v>7.898779770206384</v>
      </c>
      <c r="G74" s="147">
        <f t="shared" si="5"/>
        <v>59.08251587573346</v>
      </c>
      <c r="I74" s="159">
        <f t="shared" si="6"/>
        <v>161869.9065088588</v>
      </c>
    </row>
    <row r="75" spans="3:9" ht="12.75">
      <c r="C75" s="107">
        <f t="shared" si="3"/>
        <v>2013</v>
      </c>
      <c r="D75" s="138">
        <f t="shared" si="4"/>
        <v>45.53882897836535</v>
      </c>
      <c r="E75" s="138">
        <f>IF(C75&lt;='Input - Existing Situation'!$G$3,+'Input - Existing Situation'!R111-'Input - Existing Situation'!R96,+D75*(1-Calculations!C76)*Calculations!C76)</f>
        <v>6.425528768847351</v>
      </c>
      <c r="F75" s="138">
        <f>IF(C75&lt;='Input - Existing Situation'!$G$3,0,+IF('Input - Projection Parameters'!$A$126=2,+('Output - Consumption Projection'!D75*(1-Calculations!D76)*Calculations!D76),0))</f>
        <v>7.814463052687493</v>
      </c>
      <c r="G75" s="147">
        <f t="shared" si="5"/>
        <v>59.778820799900195</v>
      </c>
      <c r="I75" s="159">
        <f t="shared" si="6"/>
        <v>163777.59123260327</v>
      </c>
    </row>
    <row r="76" spans="3:9" ht="12.75">
      <c r="C76" s="107">
        <f t="shared" si="3"/>
        <v>2014</v>
      </c>
      <c r="D76" s="138">
        <f t="shared" si="4"/>
        <v>46.49273124755834</v>
      </c>
      <c r="E76" s="138">
        <f>IF(C76&lt;='Input - Existing Situation'!$G$3,+'Input - Existing Situation'!S111-'Input - Existing Situation'!S96,+D76*(1-Calculations!C77)*Calculations!C77)</f>
        <v>6.248623079671841</v>
      </c>
      <c r="F76" s="138">
        <f>IF(C76&lt;='Input - Existing Situation'!$G$3,0,+IF('Input - Projection Parameters'!$A$126=2,+('Output - Consumption Projection'!D76*(1-Calculations!D77)*Calculations!D77),0))</f>
        <v>7.713144113969928</v>
      </c>
      <c r="G76" s="147">
        <f t="shared" si="5"/>
        <v>60.454498441200116</v>
      </c>
      <c r="I76" s="159">
        <f t="shared" si="6"/>
        <v>165628.76285260305</v>
      </c>
    </row>
    <row r="77" spans="3:9" ht="12.75">
      <c r="C77" s="107">
        <f t="shared" si="3"/>
        <v>2015</v>
      </c>
      <c r="D77" s="138">
        <f t="shared" si="4"/>
        <v>47.4626291527586</v>
      </c>
      <c r="E77" s="138">
        <f>IF(C77&lt;='Input - Existing Situation'!$G$3,+'Input - Existing Situation'!T111-'Input - Existing Situation'!T96,+D77*(1-Calculations!C78)*Calculations!C78)</f>
        <v>6.0514852169767215</v>
      </c>
      <c r="F77" s="138">
        <f>IF(C77&lt;='Input - Existing Situation'!$G$3,0,+IF('Input - Projection Parameters'!$A$126=2,+('Output - Consumption Projection'!D77*(1-Calculations!D78)*Calculations!D78),0))</f>
        <v>7.594020664441377</v>
      </c>
      <c r="G77" s="147">
        <f t="shared" si="5"/>
        <v>61.1081350341767</v>
      </c>
      <c r="I77" s="159">
        <f t="shared" si="6"/>
        <v>167419.54803884026</v>
      </c>
    </row>
    <row r="78" spans="3:9" ht="12.75">
      <c r="C78" s="107">
        <f t="shared" si="3"/>
        <v>2016</v>
      </c>
      <c r="D78" s="138">
        <f t="shared" si="4"/>
        <v>48.58132813889743</v>
      </c>
      <c r="E78" s="138">
        <f>IF(C78&lt;='Input - Existing Situation'!$G$3,+'Input - Existing Situation'!U111-'Input - Existing Situation'!U96,+D78*(1-Calculations!C79)*Calculations!C79)</f>
        <v>6.261938871791323</v>
      </c>
      <c r="F78" s="138">
        <f>IF(C78&lt;='Input - Existing Situation'!$G$3,0,+IF('Input - Projection Parameters'!$A$126=2,+('Output - Consumption Projection'!D78*(1-Calculations!D79)*Calculations!D79),0))</f>
        <v>7.476666400576316</v>
      </c>
      <c r="G78" s="147">
        <f t="shared" si="5"/>
        <v>62.31993341126507</v>
      </c>
      <c r="I78" s="159">
        <f t="shared" si="6"/>
        <v>170739.54359250705</v>
      </c>
    </row>
    <row r="79" spans="3:9" ht="12.75">
      <c r="C79" s="107">
        <f t="shared" si="3"/>
        <v>2017</v>
      </c>
      <c r="D79" s="138">
        <f t="shared" si="4"/>
        <v>49.71937551789596</v>
      </c>
      <c r="E79" s="138">
        <f>IF(C79&lt;='Input - Existing Situation'!$G$3,+'Input - Existing Situation'!V111-'Input - Existing Situation'!V96,+D79*(1-Calculations!C80)*Calculations!C80)</f>
        <v>6.477639119973557</v>
      </c>
      <c r="F79" s="138">
        <f>IF(C79&lt;='Input - Existing Situation'!$G$3,0,+IF('Input - Projection Parameters'!$A$126=2,+('Output - Consumption Projection'!D79*(1-Calculations!D80)*Calculations!D80),0))</f>
        <v>7.338579826441444</v>
      </c>
      <c r="G79" s="147">
        <f t="shared" si="5"/>
        <v>63.53559446431097</v>
      </c>
      <c r="I79" s="159">
        <f t="shared" si="6"/>
        <v>174070.12182003004</v>
      </c>
    </row>
    <row r="80" spans="3:9" ht="12.75">
      <c r="C80" s="107">
        <f t="shared" si="3"/>
        <v>2018</v>
      </c>
      <c r="D80" s="138">
        <f t="shared" si="4"/>
        <v>50.87707720393959</v>
      </c>
      <c r="E80" s="138">
        <f>IF(C80&lt;='Input - Existing Situation'!$G$3,+'Input - Existing Situation'!W111-'Input - Existing Situation'!W96,+D80*(1-Calculations!C81)*Calculations!C81)</f>
        <v>6.698679492979503</v>
      </c>
      <c r="F80" s="138">
        <f>IF(C80&lt;='Input - Existing Situation'!$G$3,0,+IF('Input - Projection Parameters'!$A$126=2,+('Output - Consumption Projection'!D80*(1-Calculations!D81)*Calculations!D81),0))</f>
        <v>7.178755593475876</v>
      </c>
      <c r="G80" s="147">
        <f t="shared" si="5"/>
        <v>64.75451229039497</v>
      </c>
      <c r="I80" s="159">
        <f t="shared" si="6"/>
        <v>177409.62271341088</v>
      </c>
    </row>
    <row r="81" spans="3:9" ht="12.75">
      <c r="C81" s="107">
        <f t="shared" si="3"/>
        <v>2019</v>
      </c>
      <c r="D81" s="138">
        <f t="shared" si="4"/>
        <v>52.054743801851174</v>
      </c>
      <c r="E81" s="138">
        <f>IF(C81&lt;='Input - Existing Situation'!$G$3,+'Input - Existing Situation'!X111-'Input - Existing Situation'!X96,+D81*(1-Calculations!C82)*Calculations!C82)</f>
        <v>6.925154896423073</v>
      </c>
      <c r="F81" s="138">
        <f>IF(C81&lt;='Input - Existing Situation'!$G$3,0,+IF('Input - Projection Parameters'!$A$126=2,+('Output - Consumption Projection'!D81*(1-Calculations!D82)*Calculations!D82),0))</f>
        <v>6.996157566968797</v>
      </c>
      <c r="G81" s="147">
        <f t="shared" si="5"/>
        <v>65.97605626524305</v>
      </c>
      <c r="I81" s="159">
        <f t="shared" si="6"/>
        <v>180756.31853491245</v>
      </c>
    </row>
    <row r="82" spans="3:9" ht="12.75">
      <c r="C82" s="107">
        <f t="shared" si="3"/>
        <v>2020</v>
      </c>
      <c r="D82" s="138">
        <f t="shared" si="4"/>
        <v>53.252690677591644</v>
      </c>
      <c r="E82" s="138">
        <f>IF(C82&lt;='Input - Existing Situation'!$G$3,+'Input - Existing Situation'!Y111-'Input - Existing Situation'!Y96,+D82*(1-Calculations!C83)*Calculations!C83)</f>
        <v>7.157161627068318</v>
      </c>
      <c r="F82" s="138">
        <f>IF(C82&lt;='Input - Existing Situation'!$G$3,0,+IF('Input - Projection Parameters'!$A$126=2,+('Output - Consumption Projection'!D82*(1-Calculations!D83)*Calculations!D83),0))</f>
        <v>6.789718061392934</v>
      </c>
      <c r="G82" s="147">
        <f t="shared" si="5"/>
        <v>67.1995703660529</v>
      </c>
      <c r="I82" s="159">
        <f t="shared" si="6"/>
        <v>184108.41196178875</v>
      </c>
    </row>
    <row r="83" spans="3:9" ht="12.75">
      <c r="C83" s="107">
        <f t="shared" si="3"/>
        <v>2021</v>
      </c>
      <c r="D83" s="138">
        <f t="shared" si="4"/>
        <v>54.45604235277403</v>
      </c>
      <c r="E83" s="138">
        <f>IF(C83&lt;='Input - Existing Situation'!$G$3,+'Input - Existing Situation'!Z111-'Input - Existing Situation'!Z96,+D83*(1-Calculations!C84)*Calculations!C84)</f>
        <v>7.16990036033564</v>
      </c>
      <c r="F83" s="138">
        <f>IF(C83&lt;='Input - Existing Situation'!$G$3,0,+IF('Input - Projection Parameters'!$A$126=2,+('Output - Consumption Projection'!D83*(1-Calculations!D84)*Calculations!D84),0))</f>
        <v>6.556507499273992</v>
      </c>
      <c r="G83" s="147">
        <f t="shared" si="5"/>
        <v>68.18245021238366</v>
      </c>
      <c r="I83" s="159">
        <f t="shared" si="6"/>
        <v>186801.23345858534</v>
      </c>
    </row>
    <row r="84" spans="3:9" ht="12.75">
      <c r="C84" s="107">
        <f t="shared" si="3"/>
        <v>2022</v>
      </c>
      <c r="D84" s="138">
        <f t="shared" si="4"/>
        <v>55.68009019771538</v>
      </c>
      <c r="E84" s="138">
        <f>IF(C84&lt;='Input - Existing Situation'!$G$3,+'Input - Existing Situation'!AA111-'Input - Existing Situation'!AA96,+D84*(1-Calculations!C85)*Calculations!C85)</f>
        <v>7.176940906124721</v>
      </c>
      <c r="F84" s="138">
        <f>IF(C84&lt;='Input - Existing Situation'!$G$3,0,+IF('Input - Projection Parameters'!$A$126=2,+('Output - Consumption Projection'!D84*(1-Calculations!D85)*Calculations!D85),0))</f>
        <v>6.297418201361608</v>
      </c>
      <c r="G84" s="147">
        <f t="shared" si="5"/>
        <v>69.15444930520171</v>
      </c>
      <c r="I84" s="159">
        <f t="shared" si="6"/>
        <v>189464.2446717855</v>
      </c>
    </row>
    <row r="85" spans="3:9" ht="12.75">
      <c r="C85" s="107">
        <f t="shared" si="3"/>
        <v>2023</v>
      </c>
      <c r="D85" s="138">
        <f t="shared" si="4"/>
        <v>56.925160383577946</v>
      </c>
      <c r="E85" s="138">
        <f>IF(C85&lt;='Input - Existing Situation'!$G$3,+'Input - Existing Situation'!AB111-'Input - Existing Situation'!AB96,+D85*(1-Calculations!C86)*Calculations!C86)</f>
        <v>7.178035023727644</v>
      </c>
      <c r="F85" s="138">
        <f>IF(C85&lt;='Input - Existing Situation'!$G$3,0,+IF('Input - Projection Parameters'!$A$126=2,+('Output - Consumption Projection'!D85*(1-Calculations!D86)*Calculations!D86),0))</f>
        <v>6.01129693650583</v>
      </c>
      <c r="G85" s="147">
        <f t="shared" si="5"/>
        <v>70.11449234381142</v>
      </c>
      <c r="I85" s="159">
        <f t="shared" si="6"/>
        <v>192094.49957208606</v>
      </c>
    </row>
    <row r="86" spans="3:9" ht="12.75">
      <c r="C86" s="107">
        <f t="shared" si="3"/>
        <v>2024</v>
      </c>
      <c r="D86" s="138">
        <f t="shared" si="4"/>
        <v>58.19158407284229</v>
      </c>
      <c r="E86" s="138">
        <f>IF(C86&lt;='Input - Existing Situation'!$G$3,+'Input - Existing Situation'!AC111-'Input - Existing Situation'!AC96,+D86*(1-Calculations!C87)*Calculations!C87)</f>
        <v>7.1729274191548305</v>
      </c>
      <c r="F86" s="138">
        <f>IF(C86&lt;='Input - Existing Situation'!$G$3,0,+IF('Input - Projection Parameters'!$A$126=2,+('Output - Consumption Projection'!D86*(1-Calculations!D87)*Calculations!D87),0))</f>
        <v>5.69695608073126</v>
      </c>
      <c r="G86" s="147">
        <f t="shared" si="5"/>
        <v>71.06146757272838</v>
      </c>
      <c r="I86" s="159">
        <f t="shared" si="6"/>
        <v>194688.95225405032</v>
      </c>
    </row>
    <row r="87" spans="3:9" ht="12.75">
      <c r="C87" s="107">
        <f t="shared" si="3"/>
        <v>2025</v>
      </c>
      <c r="D87" s="138">
        <f t="shared" si="4"/>
        <v>59.47969749420961</v>
      </c>
      <c r="E87" s="138">
        <f>IF(C87&lt;='Input - Existing Situation'!$G$3,+'Input - Existing Situation'!AD111-'Input - Existing Situation'!AD96,+D87*(1-Calculations!C88)*Calculations!C88)</f>
        <v>7.161355578302838</v>
      </c>
      <c r="F87" s="138">
        <f>IF(C87&lt;='Input - Existing Situation'!$G$3,0,+IF('Input - Projection Parameters'!$A$126=2,+('Output - Consumption Projection'!D87*(1-Calculations!D88)*Calculations!D88),0))</f>
        <v>5.353172774478865</v>
      </c>
      <c r="G87" s="147">
        <f t="shared" si="5"/>
        <v>71.99422584699131</v>
      </c>
      <c r="I87" s="159">
        <f t="shared" si="6"/>
        <v>197244.4543753187</v>
      </c>
    </row>
    <row r="88" spans="3:9" ht="12.75">
      <c r="C88" s="107">
        <f t="shared" si="3"/>
        <v>2026</v>
      </c>
      <c r="D88" s="138">
        <f t="shared" si="4"/>
        <v>60.96315763026533</v>
      </c>
      <c r="E88" s="138">
        <f>IF(C88&lt;='Input - Existing Situation'!$G$3,+'Input - Existing Situation'!AE111-'Input - Existing Situation'!AE96,+D88*(1-Calculations!C89)*Calculations!C89)</f>
        <v>7.163414874186698</v>
      </c>
      <c r="F88" s="138">
        <f>IF(C88&lt;='Input - Existing Situation'!$G$3,0,+IF('Input - Projection Parameters'!$A$126=2,+('Output - Consumption Projection'!D88*(1-Calculations!D89)*Calculations!D89),0))</f>
        <v>4.992882609918731</v>
      </c>
      <c r="G88" s="147">
        <f t="shared" si="5"/>
        <v>73.11945511437077</v>
      </c>
      <c r="I88" s="159">
        <f t="shared" si="6"/>
        <v>200327.2742859473</v>
      </c>
    </row>
    <row r="89" spans="3:9" ht="12.75">
      <c r="C89" s="107">
        <f t="shared" si="3"/>
        <v>2027</v>
      </c>
      <c r="D89" s="138">
        <f t="shared" si="4"/>
        <v>62.472753070846046</v>
      </c>
      <c r="E89" s="138">
        <f>IF(C89&lt;='Input - Existing Situation'!$G$3,+'Input - Existing Situation'!AF111-'Input - Existing Situation'!AF96,+D89*(1-Calculations!C90)*Calculations!C90)</f>
        <v>7.157878155845257</v>
      </c>
      <c r="F89" s="138">
        <f>IF(C89&lt;='Input - Existing Situation'!$G$3,0,+IF('Input - Projection Parameters'!$A$126=2,+('Output - Consumption Projection'!D89*(1-Calculations!D90)*Calculations!D90),0))</f>
        <v>4.59799462601427</v>
      </c>
      <c r="G89" s="147">
        <f t="shared" si="5"/>
        <v>74.22862585270558</v>
      </c>
      <c r="I89" s="159">
        <f t="shared" si="6"/>
        <v>203366.09822659064</v>
      </c>
    </row>
    <row r="90" spans="3:9" ht="12.75">
      <c r="C90" s="107">
        <f t="shared" si="3"/>
        <v>2028</v>
      </c>
      <c r="D90" s="138">
        <f t="shared" si="4"/>
        <v>64.0088999625815</v>
      </c>
      <c r="E90" s="138">
        <f>IF(C90&lt;='Input - Existing Situation'!$G$3,+'Input - Existing Situation'!AG111-'Input - Existing Situation'!AG96,+D90*(1-Calculations!C91)*Calculations!C91)</f>
        <v>7.144417378223496</v>
      </c>
      <c r="F90" s="138">
        <f>IF(C90&lt;='Input - Existing Situation'!$G$3,0,+IF('Input - Projection Parameters'!$A$126=2,+('Output - Consumption Projection'!D90*(1-Calculations!D91)*Calculations!D91),0))</f>
        <v>4.166979387564057</v>
      </c>
      <c r="G90" s="147">
        <f t="shared" si="5"/>
        <v>75.32029672836904</v>
      </c>
      <c r="I90" s="159">
        <f t="shared" si="6"/>
        <v>206356.97733799738</v>
      </c>
    </row>
    <row r="91" spans="3:9" ht="12.75">
      <c r="C91" s="107">
        <f t="shared" si="3"/>
        <v>2029</v>
      </c>
      <c r="D91" s="138">
        <f t="shared" si="4"/>
        <v>65.57202085587927</v>
      </c>
      <c r="E91" s="138">
        <f>IF(C91&lt;='Input - Existing Situation'!$G$3,+'Input - Existing Situation'!AH111-'Input - Existing Situation'!AH96,+D91*(1-Calculations!C92)*Calculations!C92)</f>
        <v>7.1226951934490295</v>
      </c>
      <c r="F91" s="138">
        <f>IF(C91&lt;='Input - Existing Situation'!$G$3,0,+IF('Input - Projection Parameters'!$A$126=2,+('Output - Consumption Projection'!D91*(1-Calculations!D92)*Calculations!D92),0))</f>
        <v>3.6982619762715916</v>
      </c>
      <c r="G91" s="147">
        <f t="shared" si="5"/>
        <v>76.3929780255999</v>
      </c>
      <c r="I91" s="159">
        <f t="shared" si="6"/>
        <v>209295.83020712304</v>
      </c>
    </row>
    <row r="92" spans="3:9" ht="12.75">
      <c r="C92" s="107">
        <f t="shared" si="3"/>
        <v>2030</v>
      </c>
      <c r="D92" s="138">
        <f t="shared" si="4"/>
        <v>67.16254480134438</v>
      </c>
      <c r="E92" s="138">
        <f>IF(C92&lt;='Input - Existing Situation'!$G$3,+'Input - Existing Situation'!AI111-'Input - Existing Situation'!AI96,+D92*(1-Calculations!C93)*Calculations!C93)</f>
        <v>7.092364731021966</v>
      </c>
      <c r="F92" s="138">
        <f>IF(C92&lt;='Input - Existing Situation'!$G$3,0,+IF('Input - Projection Parameters'!$A$126=2,+('Output - Consumption Projection'!D92*(1-Calculations!D93)*Calculations!D93),0))</f>
        <v>3.190220878063858</v>
      </c>
      <c r="G92" s="147">
        <f t="shared" si="5"/>
        <v>77.44513041043021</v>
      </c>
      <c r="I92" s="159">
        <f t="shared" si="6"/>
        <v>212178.4394806307</v>
      </c>
    </row>
    <row r="93" spans="3:9" ht="12.75">
      <c r="C93" s="107">
        <f t="shared" si="3"/>
        <v>2031</v>
      </c>
      <c r="D93" s="138">
        <f t="shared" si="4"/>
        <v>68.64866059784264</v>
      </c>
      <c r="E93" s="138">
        <f>IF(C93&lt;='Input - Existing Situation'!$G$3,+'Input - Existing Situation'!AJ111-'Input - Existing Situation'!AJ96,+D93*(1-Calculations!C94)*Calculations!C94)</f>
        <v>7.249298559132182</v>
      </c>
      <c r="F93" s="138">
        <f>IF(C93&lt;='Input - Existing Situation'!$G$3,0,+IF('Input - Projection Parameters'!$A$126=2,+('Output - Consumption Projection'!D93*(1-Calculations!D94)*Calculations!D94),0))</f>
        <v>3.260811378397525</v>
      </c>
      <c r="G93" s="147">
        <f t="shared" si="5"/>
        <v>79.15877053537234</v>
      </c>
      <c r="I93" s="159">
        <f t="shared" si="6"/>
        <v>216873.34393252697</v>
      </c>
    </row>
    <row r="94" spans="3:9" ht="12.75">
      <c r="C94" s="107">
        <f t="shared" si="3"/>
        <v>2032</v>
      </c>
      <c r="D94" s="138">
        <f t="shared" si="4"/>
        <v>70.16037424989176</v>
      </c>
      <c r="E94" s="138">
        <f>IF(C94&lt;='Input - Existing Situation'!$G$3,+'Input - Existing Situation'!AK111-'Input - Existing Situation'!AK96,+D94*(1-Calculations!C95)*Calculations!C95)</f>
        <v>7.40893552078857</v>
      </c>
      <c r="F94" s="138">
        <f>IF(C94&lt;='Input - Existing Situation'!$G$3,0,+IF('Input - Projection Parameters'!$A$126=2,+('Output - Consumption Projection'!D94*(1-Calculations!D95)*Calculations!D95),0))</f>
        <v>3.3326177768698586</v>
      </c>
      <c r="G94" s="147">
        <f t="shared" si="5"/>
        <v>80.90192754755019</v>
      </c>
      <c r="I94" s="159">
        <f t="shared" si="6"/>
        <v>221649.11656863065</v>
      </c>
    </row>
    <row r="95" spans="3:9" ht="12.75">
      <c r="C95" s="107">
        <f t="shared" si="3"/>
        <v>2033</v>
      </c>
      <c r="D95" s="138">
        <f t="shared" si="4"/>
        <v>71.6980888851666</v>
      </c>
      <c r="E95" s="138">
        <f>IF(C95&lt;='Input - Existing Situation'!$G$3,+'Input - Existing Situation'!AL111-'Input - Existing Situation'!AL96,+D95*(1-Calculations!C96)*Calculations!C96)</f>
        <v>7.571318186273592</v>
      </c>
      <c r="F95" s="138">
        <f>IF(C95&lt;='Input - Existing Situation'!$G$3,0,+IF('Input - Projection Parameters'!$A$126=2,+('Output - Consumption Projection'!D95*(1-Calculations!D96)*Calculations!D96),0))</f>
        <v>3.4056592220454136</v>
      </c>
      <c r="G95" s="147">
        <f t="shared" si="5"/>
        <v>82.6750662934856</v>
      </c>
      <c r="I95" s="159">
        <f t="shared" si="6"/>
        <v>226507.03094105644</v>
      </c>
    </row>
    <row r="96" spans="3:9" ht="12.75">
      <c r="C96" s="107">
        <f t="shared" si="3"/>
        <v>2034</v>
      </c>
      <c r="D96" s="138">
        <f t="shared" si="4"/>
        <v>73.26221379517315</v>
      </c>
      <c r="E96" s="138">
        <f>IF(C96&lt;='Input - Existing Situation'!$G$3,+'Input - Existing Situation'!AM111-'Input - Existing Situation'!AM96,+D96*(1-Calculations!C97)*Calculations!C97)</f>
        <v>7.736489776770284</v>
      </c>
      <c r="F96" s="138">
        <f>IF(C96&lt;='Input - Existing Situation'!$G$3,0,+IF('Input - Projection Parameters'!$A$126=2,+('Output - Consumption Projection'!D96*(1-Calculations!D97)*Calculations!D97),0))</f>
        <v>3.4799551552707246</v>
      </c>
      <c r="G96" s="147">
        <f t="shared" si="5"/>
        <v>84.47865872721417</v>
      </c>
      <c r="I96" s="159">
        <f t="shared" si="6"/>
        <v>231448.38007455936</v>
      </c>
    </row>
    <row r="97" spans="3:9" ht="12.75">
      <c r="C97" s="107">
        <f t="shared" si="3"/>
        <v>2035</v>
      </c>
      <c r="D97" s="138">
        <f t="shared" si="4"/>
        <v>74.85316452764312</v>
      </c>
      <c r="E97" s="138">
        <f>IF(C97&lt;='Input - Existing Situation'!$G$3,+'Input - Existing Situation'!AN111-'Input - Existing Situation'!AN96,+D97*(1-Calculations!C98)*Calculations!C98)</f>
        <v>7.9044941741191135</v>
      </c>
      <c r="F97" s="138">
        <f>IF(C97&lt;='Input - Existing Situation'!$G$3,0,+IF('Input - Projection Parameters'!$A$126=2,+('Output - Consumption Projection'!D97*(1-Calculations!D98)*Calculations!D98),0))</f>
        <v>3.555525315063048</v>
      </c>
      <c r="G97" s="147">
        <f t="shared" si="5"/>
        <v>86.31318401682528</v>
      </c>
      <c r="I97" s="159">
        <f t="shared" si="6"/>
        <v>236474.47675842542</v>
      </c>
    </row>
    <row r="98" spans="3:9" ht="12.75">
      <c r="C98" s="107">
        <f t="shared" si="3"/>
        <v>2036</v>
      </c>
      <c r="D98" s="138">
        <f t="shared" si="4"/>
        <v>76.54809532657069</v>
      </c>
      <c r="E98" s="138">
        <f>IF(C98&lt;='Input - Existing Situation'!$G$3,+'Input - Existing Situation'!AO111-'Input - Existing Situation'!AO96,+D98*(1-Calculations!C99)*Calculations!C99)</f>
        <v>8.083478866485864</v>
      </c>
      <c r="F98" s="138">
        <f>IF(C98&lt;='Input - Existing Situation'!$G$3,0,+IF('Input - Projection Parameters'!$A$126=2,+('Output - Consumption Projection'!D98*(1-Calculations!D99)*Calculations!D99),0))</f>
        <v>3.6360345280121074</v>
      </c>
      <c r="G98" s="147">
        <f t="shared" si="5"/>
        <v>88.26760872106865</v>
      </c>
      <c r="I98" s="159">
        <f t="shared" si="6"/>
        <v>241829.06498922917</v>
      </c>
    </row>
    <row r="99" spans="3:9" ht="12.75">
      <c r="C99" s="107">
        <f t="shared" si="3"/>
        <v>2037</v>
      </c>
      <c r="D99" s="138">
        <f t="shared" si="4"/>
        <v>78.2724676151933</v>
      </c>
      <c r="E99" s="138">
        <f>IF(C99&lt;='Input - Existing Situation'!$G$3,+'Input - Existing Situation'!AP111-'Input - Existing Situation'!AP96,+D99*(1-Calculations!C100)*Calculations!C100)</f>
        <v>8.265572580164413</v>
      </c>
      <c r="F99" s="138">
        <f>IF(C99&lt;='Input - Existing Situation'!$G$3,0,+IF('Input - Projection Parameters'!$A$126=2,+('Output - Consumption Projection'!D99*(1-Calculations!D100)*Calculations!D100),0))</f>
        <v>3.717942211721682</v>
      </c>
      <c r="G99" s="147">
        <f t="shared" si="5"/>
        <v>90.2559824070794</v>
      </c>
      <c r="I99" s="159">
        <f t="shared" si="6"/>
        <v>247276.66412898467</v>
      </c>
    </row>
    <row r="100" spans="3:9" ht="12.75">
      <c r="C100" s="107">
        <f t="shared" si="3"/>
        <v>2038</v>
      </c>
      <c r="D100" s="138">
        <f t="shared" si="4"/>
        <v>80.02674663966343</v>
      </c>
      <c r="E100" s="138">
        <f>IF(C100&lt;='Input - Existing Situation'!$G$3,+'Input - Existing Situation'!AQ111-'Input - Existing Situation'!AQ96,+D100*(1-Calculations!C101)*Calculations!C101)</f>
        <v>8.450824445148458</v>
      </c>
      <c r="F100" s="138">
        <f>IF(C100&lt;='Input - Existing Situation'!$G$3,0,+IF('Input - Projection Parameters'!$A$126=2,+('Output - Consumption Projection'!D100*(1-Calculations!D101)*Calculations!D101),0))</f>
        <v>3.801270465384013</v>
      </c>
      <c r="G100" s="147">
        <f t="shared" si="5"/>
        <v>92.27884155019589</v>
      </c>
      <c r="I100" s="159">
        <f t="shared" si="6"/>
        <v>252818.7439731394</v>
      </c>
    </row>
    <row r="101" spans="3:9" ht="12.75">
      <c r="C101" s="107">
        <f t="shared" si="3"/>
        <v>2039</v>
      </c>
      <c r="D101" s="138">
        <f t="shared" si="4"/>
        <v>81.81140477251503</v>
      </c>
      <c r="E101" s="138">
        <f>IF(C101&lt;='Input - Existing Situation'!$G$3,+'Input - Existing Situation'!AR111-'Input - Existing Situation'!AR96,+D101*(1-Calculations!C102)*Calculations!C102)</f>
        <v>8.639284343977586</v>
      </c>
      <c r="F101" s="138">
        <f>IF(C101&lt;='Input - Existing Situation'!$G$3,0,+IF('Input - Projection Parameters'!$A$126=2,+('Output - Consumption Projection'!D101*(1-Calculations!D102)*Calculations!D102),0))</f>
        <v>3.886041726694464</v>
      </c>
      <c r="G101" s="147">
        <f t="shared" si="5"/>
        <v>94.33673084318707</v>
      </c>
      <c r="I101" s="159">
        <f t="shared" si="6"/>
        <v>258456.7968306495</v>
      </c>
    </row>
    <row r="102" spans="3:9" ht="12.75">
      <c r="C102" s="107">
        <f t="shared" si="3"/>
        <v>2040</v>
      </c>
      <c r="D102" s="138">
        <f t="shared" si="4"/>
        <v>83.62692161958526</v>
      </c>
      <c r="E102" s="138">
        <f>IF(C102&lt;='Input - Existing Situation'!$G$3,+'Input - Existing Situation'!AS111-'Input - Existing Situation'!AS96,+D102*(1-Calculations!C103)*Calculations!C103)</f>
        <v>8.831002923028205</v>
      </c>
      <c r="F102" s="138">
        <f>IF(C102&lt;='Input - Existing Situation'!$G$3,0,+IF('Input - Projection Parameters'!$A$126=2,+('Output - Consumption Projection'!D102*(1-Calculations!D103)*Calculations!D103),0))</f>
        <v>3.9722787769303</v>
      </c>
      <c r="G102" s="147">
        <f t="shared" si="5"/>
        <v>96.43020331954376</v>
      </c>
      <c r="I102" s="159">
        <f t="shared" si="6"/>
        <v>264192.3378617637</v>
      </c>
    </row>
    <row r="103" spans="3:9" ht="12.75">
      <c r="C103" s="108"/>
      <c r="D103" s="8"/>
      <c r="E103" s="8"/>
      <c r="F103" s="8"/>
      <c r="G103" s="108"/>
      <c r="I103" s="108"/>
    </row>
    <row r="107" spans="3:32" ht="12.75">
      <c r="C107" s="37"/>
      <c r="D107" s="38"/>
      <c r="E107" s="38"/>
      <c r="F107" s="38"/>
      <c r="G107" s="38"/>
      <c r="H107" s="38"/>
      <c r="I107" s="38"/>
      <c r="J107" s="38"/>
      <c r="K107" s="38"/>
      <c r="L107" s="39"/>
      <c r="P107" s="48"/>
      <c r="Q107" s="49"/>
      <c r="R107" s="49"/>
      <c r="S107" s="49"/>
      <c r="T107" s="49"/>
      <c r="U107" s="49"/>
      <c r="V107" s="49"/>
      <c r="W107" s="50"/>
      <c r="Y107" s="48"/>
      <c r="Z107" s="49"/>
      <c r="AA107" s="49"/>
      <c r="AB107" s="49"/>
      <c r="AC107" s="49"/>
      <c r="AD107" s="49"/>
      <c r="AE107" s="49"/>
      <c r="AF107" s="50"/>
    </row>
    <row r="108" spans="3:32" ht="12.75">
      <c r="C108" s="105"/>
      <c r="D108" s="184" t="s">
        <v>78</v>
      </c>
      <c r="E108" s="184"/>
      <c r="F108" s="184"/>
      <c r="G108" s="184"/>
      <c r="H108" s="184"/>
      <c r="I108" s="184"/>
      <c r="J108" s="184"/>
      <c r="K108" s="184"/>
      <c r="L108" s="185"/>
      <c r="P108" s="45"/>
      <c r="Q108" s="51" t="s">
        <v>93</v>
      </c>
      <c r="R108" s="51"/>
      <c r="S108" s="51"/>
      <c r="T108" s="51"/>
      <c r="U108" s="51"/>
      <c r="V108" s="51"/>
      <c r="W108" s="52"/>
      <c r="Y108" s="45"/>
      <c r="Z108" s="51" t="s">
        <v>93</v>
      </c>
      <c r="AA108" s="51"/>
      <c r="AB108" s="51"/>
      <c r="AC108" s="51"/>
      <c r="AD108" s="51"/>
      <c r="AE108" s="51"/>
      <c r="AF108" s="52"/>
    </row>
    <row r="109" spans="3:32" ht="12.75">
      <c r="C109" s="105"/>
      <c r="D109" s="51"/>
      <c r="E109" s="40"/>
      <c r="F109" s="40"/>
      <c r="G109" s="40"/>
      <c r="H109" s="40"/>
      <c r="I109" s="40"/>
      <c r="J109" s="40"/>
      <c r="K109" s="40"/>
      <c r="L109" s="41"/>
      <c r="P109" s="45"/>
      <c r="Q109" s="51"/>
      <c r="R109" s="51"/>
      <c r="S109" s="51"/>
      <c r="T109" s="51"/>
      <c r="U109" s="51"/>
      <c r="V109" s="51"/>
      <c r="W109" s="52"/>
      <c r="Y109" s="45"/>
      <c r="Z109" s="51"/>
      <c r="AA109" s="51"/>
      <c r="AB109" s="51"/>
      <c r="AC109" s="51"/>
      <c r="AD109" s="51"/>
      <c r="AE109" s="51"/>
      <c r="AF109" s="52"/>
    </row>
    <row r="110" spans="3:32" ht="12.75">
      <c r="C110" s="105"/>
      <c r="D110" s="184" t="s">
        <v>55</v>
      </c>
      <c r="E110" s="184"/>
      <c r="F110" s="184"/>
      <c r="G110" s="184"/>
      <c r="H110" s="184"/>
      <c r="I110" s="184"/>
      <c r="J110" s="184"/>
      <c r="K110" s="184"/>
      <c r="L110" s="41"/>
      <c r="P110" s="45"/>
      <c r="Q110" s="51" t="s">
        <v>97</v>
      </c>
      <c r="R110" s="51"/>
      <c r="S110" s="51"/>
      <c r="T110" s="51"/>
      <c r="U110" s="51"/>
      <c r="V110" s="51"/>
      <c r="W110" s="52"/>
      <c r="Y110" s="45"/>
      <c r="Z110" s="51" t="s">
        <v>98</v>
      </c>
      <c r="AA110" s="51"/>
      <c r="AB110" s="51"/>
      <c r="AC110" s="51"/>
      <c r="AD110" s="51"/>
      <c r="AE110" s="51"/>
      <c r="AF110" s="52"/>
    </row>
    <row r="111" spans="3:32" ht="12.75">
      <c r="C111" s="42"/>
      <c r="D111" s="43"/>
      <c r="E111" s="43"/>
      <c r="F111" s="43"/>
      <c r="G111" s="43"/>
      <c r="H111" s="43"/>
      <c r="I111" s="43"/>
      <c r="J111" s="43"/>
      <c r="K111" s="43"/>
      <c r="L111" s="44"/>
      <c r="P111" s="56"/>
      <c r="Q111" s="57"/>
      <c r="R111" s="57"/>
      <c r="S111" s="57"/>
      <c r="T111" s="57"/>
      <c r="U111" s="57"/>
      <c r="V111" s="57"/>
      <c r="W111" s="58"/>
      <c r="Y111" s="45"/>
      <c r="Z111" s="51"/>
      <c r="AA111" s="51"/>
      <c r="AB111" s="51"/>
      <c r="AC111" s="51"/>
      <c r="AD111" s="51"/>
      <c r="AE111" s="51"/>
      <c r="AF111" s="52"/>
    </row>
    <row r="112" spans="3:32" ht="12.75">
      <c r="C112" s="148"/>
      <c r="D112" s="55"/>
      <c r="E112" s="55"/>
      <c r="F112" s="55"/>
      <c r="G112" s="148"/>
      <c r="H112" s="55"/>
      <c r="I112" s="55"/>
      <c r="J112" s="55"/>
      <c r="K112" s="148"/>
      <c r="L112" s="144"/>
      <c r="M112" s="90"/>
      <c r="P112" s="148"/>
      <c r="Q112" s="88"/>
      <c r="R112" s="89"/>
      <c r="S112" s="89"/>
      <c r="T112" s="89"/>
      <c r="U112" s="89"/>
      <c r="V112" s="89"/>
      <c r="W112" s="90"/>
      <c r="Y112" s="144"/>
      <c r="Z112" s="89"/>
      <c r="AA112" s="89"/>
      <c r="AB112" s="89"/>
      <c r="AC112" s="89"/>
      <c r="AD112" s="89"/>
      <c r="AE112" s="89"/>
      <c r="AF112" s="90"/>
    </row>
    <row r="113" spans="3:32" ht="12.75">
      <c r="C113" s="148"/>
      <c r="D113" s="190" t="s">
        <v>75</v>
      </c>
      <c r="E113" s="191"/>
      <c r="F113" s="192"/>
      <c r="G113" s="148"/>
      <c r="H113" s="190" t="s">
        <v>76</v>
      </c>
      <c r="I113" s="191"/>
      <c r="J113" s="192"/>
      <c r="K113" s="148"/>
      <c r="L113" s="148"/>
      <c r="M113" s="91"/>
      <c r="P113" s="148"/>
      <c r="Q113" s="113"/>
      <c r="R113" s="55"/>
      <c r="S113" s="55"/>
      <c r="T113" s="55"/>
      <c r="U113" s="55"/>
      <c r="V113" s="55"/>
      <c r="W113" s="91"/>
      <c r="Y113" s="148"/>
      <c r="Z113" s="55"/>
      <c r="AA113" s="55"/>
      <c r="AB113" s="55"/>
      <c r="AC113" s="55"/>
      <c r="AD113" s="55"/>
      <c r="AE113" s="55"/>
      <c r="AF113" s="91"/>
    </row>
    <row r="114" spans="3:32" ht="13.5" customHeight="1">
      <c r="C114" s="148"/>
      <c r="D114" s="55"/>
      <c r="E114" s="55"/>
      <c r="F114" s="55"/>
      <c r="G114" s="148"/>
      <c r="H114" s="55"/>
      <c r="I114" s="55"/>
      <c r="J114" s="55"/>
      <c r="K114" s="148"/>
      <c r="L114" s="148"/>
      <c r="M114" s="91"/>
      <c r="P114" s="148"/>
      <c r="Q114" s="113"/>
      <c r="R114" s="55"/>
      <c r="S114" s="55"/>
      <c r="T114" s="55"/>
      <c r="U114" s="55"/>
      <c r="V114" s="55"/>
      <c r="W114" s="91"/>
      <c r="Y114" s="148"/>
      <c r="Z114" s="55"/>
      <c r="AA114" s="55"/>
      <c r="AB114" s="55"/>
      <c r="AC114" s="55"/>
      <c r="AD114" s="55"/>
      <c r="AE114" s="55"/>
      <c r="AF114" s="91"/>
    </row>
    <row r="115" spans="3:32" ht="42.75" customHeight="1">
      <c r="C115" s="148"/>
      <c r="D115" s="142" t="s">
        <v>0</v>
      </c>
      <c r="E115" s="143" t="s">
        <v>51</v>
      </c>
      <c r="F115" s="142" t="s">
        <v>11</v>
      </c>
      <c r="G115" s="145" t="s">
        <v>29</v>
      </c>
      <c r="H115" s="142" t="s">
        <v>0</v>
      </c>
      <c r="I115" s="143" t="s">
        <v>51</v>
      </c>
      <c r="J115" s="142" t="s">
        <v>11</v>
      </c>
      <c r="K115" s="145" t="s">
        <v>29</v>
      </c>
      <c r="L115" s="145" t="s">
        <v>1</v>
      </c>
      <c r="M115" s="162" t="s">
        <v>77</v>
      </c>
      <c r="P115" s="148"/>
      <c r="Q115" s="123" t="s">
        <v>79</v>
      </c>
      <c r="R115" s="121" t="s">
        <v>96</v>
      </c>
      <c r="S115" s="121" t="s">
        <v>80</v>
      </c>
      <c r="T115" s="121" t="s">
        <v>87</v>
      </c>
      <c r="U115" s="121" t="s">
        <v>81</v>
      </c>
      <c r="V115" s="168" t="s">
        <v>91</v>
      </c>
      <c r="W115" s="169" t="s">
        <v>92</v>
      </c>
      <c r="Y115" s="174"/>
      <c r="Z115" s="175" t="s">
        <v>102</v>
      </c>
      <c r="AA115" s="175" t="s">
        <v>103</v>
      </c>
      <c r="AB115" s="175"/>
      <c r="AC115" s="175" t="s">
        <v>104</v>
      </c>
      <c r="AD115" s="175" t="s">
        <v>105</v>
      </c>
      <c r="AE115" s="175" t="s">
        <v>106</v>
      </c>
      <c r="AF115" s="176" t="s">
        <v>107</v>
      </c>
    </row>
    <row r="116" spans="3:32" ht="12.75">
      <c r="C116" s="146"/>
      <c r="D116" s="61"/>
      <c r="E116" s="141"/>
      <c r="F116" s="61"/>
      <c r="G116" s="146"/>
      <c r="H116" s="61"/>
      <c r="I116" s="141"/>
      <c r="J116" s="61"/>
      <c r="K116" s="146"/>
      <c r="L116" s="146"/>
      <c r="M116" s="92"/>
      <c r="P116" s="146"/>
      <c r="Q116" s="99"/>
      <c r="R116" s="61"/>
      <c r="S116" s="61"/>
      <c r="T116" s="61"/>
      <c r="U116" s="61"/>
      <c r="V116" s="61"/>
      <c r="W116" s="92"/>
      <c r="Y116" s="177"/>
      <c r="Z116" s="178" t="s">
        <v>108</v>
      </c>
      <c r="AA116" s="178" t="s">
        <v>108</v>
      </c>
      <c r="AB116" s="178"/>
      <c r="AC116" s="178" t="str">
        <f>+AA116</f>
        <v>kg/d</v>
      </c>
      <c r="AD116" s="178" t="s">
        <v>108</v>
      </c>
      <c r="AE116" s="178" t="s">
        <v>108</v>
      </c>
      <c r="AF116" s="179" t="s">
        <v>101</v>
      </c>
    </row>
    <row r="117" spans="3:32" ht="12.75">
      <c r="C117" s="106"/>
      <c r="D117" s="2"/>
      <c r="E117" s="2"/>
      <c r="F117" s="2"/>
      <c r="G117" s="106"/>
      <c r="H117" s="2"/>
      <c r="I117" s="2"/>
      <c r="J117" s="2"/>
      <c r="K117" s="106"/>
      <c r="L117" s="106"/>
      <c r="M117" s="3"/>
      <c r="P117" s="106"/>
      <c r="Q117" s="1"/>
      <c r="R117" s="2"/>
      <c r="S117" s="2"/>
      <c r="T117" s="2"/>
      <c r="U117" s="2"/>
      <c r="V117" s="2"/>
      <c r="W117" s="3"/>
      <c r="Y117" s="106"/>
      <c r="Z117" s="2"/>
      <c r="AA117" s="2"/>
      <c r="AB117" s="2"/>
      <c r="AC117" s="2"/>
      <c r="AD117" s="2"/>
      <c r="AE117" s="2"/>
      <c r="AF117" s="3"/>
    </row>
    <row r="118" spans="3:32" ht="12.75">
      <c r="C118" s="107">
        <f>+C63</f>
        <v>2001</v>
      </c>
      <c r="D118" s="138">
        <f>IF(C118&lt;='Input - Existing Situation'!$G$3,+'Input - Existing Situation'!F138,+D11*Calculations!D113/Calculations!C113*'Input - Projection Parameters'!$E$148)</f>
        <v>2</v>
      </c>
      <c r="E118" s="138">
        <f>IF(C118&lt;='Input - Existing Situation'!$G$3,+'Input - Existing Situation'!$F$140+'Input - Existing Situation'!$F$141,+E11*'Input - Projection Parameters'!$E$150)</f>
        <v>0</v>
      </c>
      <c r="F118" s="138">
        <f>IF(C118&lt;='Input - Existing Situation'!$G$3,+'Input - Existing Situation'!$F$142,+F11*'Input - Projection Parameters'!$E$149)</f>
        <v>0</v>
      </c>
      <c r="G118" s="147">
        <f>+SUM(D118:F118)</f>
        <v>2</v>
      </c>
      <c r="H118" s="138">
        <f>IF(G118&lt;='Input - Existing Situation'!$G$3,+'Input - Existing Situation'!F160,0)</f>
        <v>0</v>
      </c>
      <c r="I118" s="138">
        <f>IF(H118&lt;='Input - Existing Situation'!$G$3,+'Input - Existing Situation'!G162,0)</f>
        <v>0</v>
      </c>
      <c r="J118" s="138">
        <f>IF(I118&lt;='Input - Existing Situation'!$G$3,+'Input - Existing Situation'!H161,0)</f>
        <v>0</v>
      </c>
      <c r="K118" s="147">
        <f>+SUM(H118:J118)</f>
        <v>0</v>
      </c>
      <c r="L118" s="147">
        <f>+K118+G118</f>
        <v>2</v>
      </c>
      <c r="M118" s="116">
        <f>+L118/365*1000000</f>
        <v>5479.45205479452</v>
      </c>
      <c r="P118" s="107">
        <f>+C118</f>
        <v>2001</v>
      </c>
      <c r="Q118" s="170">
        <f>+M118</f>
        <v>5479.45205479452</v>
      </c>
      <c r="R118" s="161"/>
      <c r="S118" s="115">
        <f>+IF(P118&lt;='Input - Existing Situation'!$G$3,+'Input - Existing Situation'!$F$177*365-'Input - Existing Situation'!$F$163-'Input - Existing Situation'!$F$143,0)</f>
        <v>0</v>
      </c>
      <c r="T118" s="138">
        <f>IF(S118&lt;='Input - Existing Situation'!$G$3,+'Input - Existing Situation'!Q166,0)</f>
        <v>0</v>
      </c>
      <c r="U118" s="161">
        <f>+Q118-R118+S118+T118</f>
        <v>5479.45205479452</v>
      </c>
      <c r="V118" s="115">
        <f>+U118*'Input - Projection Parameters'!$E$196</f>
        <v>6027.397260273973</v>
      </c>
      <c r="W118" s="116">
        <f>+U118*'Input - Projection Parameters'!$E$197</f>
        <v>10958.90410958904</v>
      </c>
      <c r="Y118" s="107">
        <f>+P118</f>
        <v>2001</v>
      </c>
      <c r="Z118" s="5"/>
      <c r="AA118" s="5"/>
      <c r="AB118" s="5"/>
      <c r="AC118" s="5"/>
      <c r="AD118" s="5">
        <f>+SUM(Z118:AC118)</f>
        <v>0</v>
      </c>
      <c r="AE118" s="5"/>
      <c r="AF118" s="173">
        <f aca="true" t="shared" si="7" ref="AF118:AF123">+(AD118-AE118)*1000000/(U118*1000)</f>
        <v>0</v>
      </c>
    </row>
    <row r="119" spans="3:32" ht="12.75">
      <c r="C119" s="107">
        <f aca="true" t="shared" si="8" ref="C119:C157">+C64</f>
        <v>2002</v>
      </c>
      <c r="D119" s="138">
        <f>IF(C119&lt;='Input - Existing Situation'!$G$3,+'Input - Existing Situation'!G138,+D12*Calculations!D114/Calculations!C114*'Input - Projection Parameters'!$E$148)</f>
        <v>2</v>
      </c>
      <c r="E119" s="138">
        <f>IF(C119&lt;='Input - Existing Situation'!$G$3,+'Input - Existing Situation'!$G$140+'Input - Existing Situation'!$G$141,+E12*'Input - Projection Parameters'!$E$150)</f>
        <v>0</v>
      </c>
      <c r="F119" s="138">
        <f>IF(C119&lt;='Input - Existing Situation'!$G$3,+'Input - Existing Situation'!$G$142,+F12*'Input - Projection Parameters'!$E$149)</f>
        <v>0</v>
      </c>
      <c r="G119" s="147">
        <f aca="true" t="shared" si="9" ref="G119:G157">+SUM(D119:F119)</f>
        <v>2</v>
      </c>
      <c r="H119" s="138">
        <f>IF(G119&lt;='Input - Existing Situation'!$G$3,+'Input - Existing Situation'!G160,0)</f>
        <v>0</v>
      </c>
      <c r="I119" s="138">
        <f>IF(H119&lt;='Input - Existing Situation'!$G$3,+'Input - Existing Situation'!H162,0)</f>
        <v>0</v>
      </c>
      <c r="J119" s="138">
        <f>IF(I119&lt;='Input - Existing Situation'!$G$3,+'Input - Existing Situation'!I161,0)</f>
        <v>0</v>
      </c>
      <c r="K119" s="147">
        <f aca="true" t="shared" si="10" ref="K119:K157">+SUM(H119:J119)</f>
        <v>0</v>
      </c>
      <c r="L119" s="147">
        <f aca="true" t="shared" si="11" ref="L119:L157">+K119+G119</f>
        <v>2</v>
      </c>
      <c r="M119" s="116">
        <f aca="true" t="shared" si="12" ref="M119:M157">+L119/365*1000000</f>
        <v>5479.45205479452</v>
      </c>
      <c r="P119" s="107">
        <f aca="true" t="shared" si="13" ref="P119:P157">+C119</f>
        <v>2002</v>
      </c>
      <c r="Q119" s="170">
        <f aca="true" t="shared" si="14" ref="Q119:Q157">+M119</f>
        <v>5479.45205479452</v>
      </c>
      <c r="R119" s="161"/>
      <c r="S119" s="115">
        <f>+IF(P119&lt;='Input - Existing Situation'!$G$3,+'Input - Existing Situation'!$G$177*365-'Input - Existing Situation'!$G$163-'Input - Existing Situation'!$G$143,0)</f>
        <v>0</v>
      </c>
      <c r="T119" s="138">
        <f>IF(S119&lt;='Input - Existing Situation'!$G$3,+'Input - Existing Situation'!R166,0)</f>
        <v>0</v>
      </c>
      <c r="U119" s="161">
        <f aca="true" t="shared" si="15" ref="U119:U157">+Q119-R119+S119+T119</f>
        <v>5479.45205479452</v>
      </c>
      <c r="V119" s="115">
        <f>+U119*'Input - Projection Parameters'!$E$196</f>
        <v>6027.397260273973</v>
      </c>
      <c r="W119" s="116">
        <f>+U119*'Input - Projection Parameters'!$E$197</f>
        <v>10958.90410958904</v>
      </c>
      <c r="Y119" s="107">
        <f aca="true" t="shared" si="16" ref="Y119:Y157">+P119</f>
        <v>2002</v>
      </c>
      <c r="Z119" s="5"/>
      <c r="AA119" s="5"/>
      <c r="AB119" s="5"/>
      <c r="AC119" s="5"/>
      <c r="AD119" s="149">
        <f aca="true" t="shared" si="17" ref="AD119:AD157">+SUM(Z119:AC119)</f>
        <v>0</v>
      </c>
      <c r="AE119" s="5"/>
      <c r="AF119" s="173">
        <f t="shared" si="7"/>
        <v>0</v>
      </c>
    </row>
    <row r="120" spans="3:32" ht="12.75">
      <c r="C120" s="107">
        <f t="shared" si="8"/>
        <v>2003</v>
      </c>
      <c r="D120" s="138">
        <f>IF(C120&lt;='Input - Existing Situation'!$G$3,+'Input - Existing Situation'!H138,+D13*Calculations!D115/Calculations!C115*'Input - Projection Parameters'!$E$148)</f>
        <v>2</v>
      </c>
      <c r="E120" s="138">
        <f>IF(C120&lt;='Input - Existing Situation'!$G$3,+'Input - Existing Situation'!$H$140+'Input - Existing Situation'!$H$141,+E13*'Input - Projection Parameters'!$E$150)</f>
        <v>0</v>
      </c>
      <c r="F120" s="138">
        <f>IF(C120&lt;='Input - Existing Situation'!$G$3,+'Input - Existing Situation'!$H$142,+F13*'Input - Projection Parameters'!$E$149)</f>
        <v>0</v>
      </c>
      <c r="G120" s="147">
        <f t="shared" si="9"/>
        <v>2</v>
      </c>
      <c r="H120" s="138">
        <f>IF(G120&lt;='Input - Existing Situation'!$G$3,+'Input - Existing Situation'!H160,0)</f>
        <v>0</v>
      </c>
      <c r="I120" s="138">
        <f>IF(H120&lt;='Input - Existing Situation'!$G$3,+'Input - Existing Situation'!I162,0)</f>
        <v>0</v>
      </c>
      <c r="J120" s="138">
        <f>IF(I120&lt;='Input - Existing Situation'!$G$3,+'Input - Existing Situation'!J161,0)</f>
        <v>0</v>
      </c>
      <c r="K120" s="147">
        <f t="shared" si="10"/>
        <v>0</v>
      </c>
      <c r="L120" s="147">
        <f t="shared" si="11"/>
        <v>2</v>
      </c>
      <c r="M120" s="116">
        <f t="shared" si="12"/>
        <v>5479.45205479452</v>
      </c>
      <c r="P120" s="107">
        <f t="shared" si="13"/>
        <v>2003</v>
      </c>
      <c r="Q120" s="170">
        <f t="shared" si="14"/>
        <v>5479.45205479452</v>
      </c>
      <c r="R120" s="161"/>
      <c r="S120" s="115">
        <f>+IF(P120&lt;='Input - Existing Situation'!$G$3,+'Input - Existing Situation'!$H$177*365-'Input - Existing Situation'!$H$163-'Input - Existing Situation'!$H$143,0)</f>
        <v>0</v>
      </c>
      <c r="T120" s="138">
        <f>IF(S120&lt;='Input - Existing Situation'!$G$3,+'Input - Existing Situation'!S166,0)</f>
        <v>0</v>
      </c>
      <c r="U120" s="161">
        <f t="shared" si="15"/>
        <v>5479.45205479452</v>
      </c>
      <c r="V120" s="115">
        <f>+U120*'Input - Projection Parameters'!$E$196</f>
        <v>6027.397260273973</v>
      </c>
      <c r="W120" s="116">
        <f>+U120*'Input - Projection Parameters'!$E$197</f>
        <v>10958.90410958904</v>
      </c>
      <c r="Y120" s="107">
        <f t="shared" si="16"/>
        <v>2003</v>
      </c>
      <c r="Z120" s="5"/>
      <c r="AA120" s="5"/>
      <c r="AB120" s="5"/>
      <c r="AC120" s="5"/>
      <c r="AD120" s="149">
        <f t="shared" si="17"/>
        <v>0</v>
      </c>
      <c r="AE120" s="5"/>
      <c r="AF120" s="173">
        <f t="shared" si="7"/>
        <v>0</v>
      </c>
    </row>
    <row r="121" spans="3:32" ht="12.75">
      <c r="C121" s="107">
        <f t="shared" si="8"/>
        <v>2004</v>
      </c>
      <c r="D121" s="138">
        <f>IF(C121&lt;='Input - Existing Situation'!$G$3,+'Input - Existing Situation'!I138,+D14*Calculations!D116/Calculations!C116*'Input - Projection Parameters'!$E$148)</f>
        <v>2</v>
      </c>
      <c r="E121" s="138">
        <f>IF(C121&lt;='Input - Existing Situation'!$G$3,+'Input - Existing Situation'!$I$140+'Input - Existing Situation'!$I$141,+E14*'Input - Projection Parameters'!$E$150)</f>
        <v>0</v>
      </c>
      <c r="F121" s="138">
        <f>IF(C121&lt;='Input - Existing Situation'!$G$3,+'Input - Existing Situation'!$I$142,+F14*'Input - Projection Parameters'!$E$149)</f>
        <v>0</v>
      </c>
      <c r="G121" s="147">
        <f t="shared" si="9"/>
        <v>2</v>
      </c>
      <c r="H121" s="138">
        <f>IF(G121&lt;='Input - Existing Situation'!$G$3,+'Input - Existing Situation'!I160,0)</f>
        <v>0</v>
      </c>
      <c r="I121" s="138">
        <f>IF(H121&lt;='Input - Existing Situation'!$G$3,+'Input - Existing Situation'!J162,0)</f>
        <v>0</v>
      </c>
      <c r="J121" s="138">
        <f>IF(I121&lt;='Input - Existing Situation'!$G$3,+'Input - Existing Situation'!K161,0)</f>
        <v>0</v>
      </c>
      <c r="K121" s="147">
        <f t="shared" si="10"/>
        <v>0</v>
      </c>
      <c r="L121" s="147">
        <f t="shared" si="11"/>
        <v>2</v>
      </c>
      <c r="M121" s="116">
        <f t="shared" si="12"/>
        <v>5479.45205479452</v>
      </c>
      <c r="P121" s="107">
        <f t="shared" si="13"/>
        <v>2004</v>
      </c>
      <c r="Q121" s="170">
        <f t="shared" si="14"/>
        <v>5479.45205479452</v>
      </c>
      <c r="R121" s="161"/>
      <c r="S121" s="115">
        <f>+IF(P121&lt;='Input - Existing Situation'!$G$3,+'Input - Existing Situation'!$I$177*365-'Input - Existing Situation'!$I$163-'Input - Existing Situation'!$I$143,0)</f>
        <v>0</v>
      </c>
      <c r="T121" s="138">
        <f>IF(S121&lt;='Input - Existing Situation'!$G$3,+'Input - Existing Situation'!T166,0)</f>
        <v>0</v>
      </c>
      <c r="U121" s="161">
        <f t="shared" si="15"/>
        <v>5479.45205479452</v>
      </c>
      <c r="V121" s="115">
        <f>+U121*'Input - Projection Parameters'!$E$196</f>
        <v>6027.397260273973</v>
      </c>
      <c r="W121" s="116">
        <f>+U121*'Input - Projection Parameters'!$E$197</f>
        <v>10958.90410958904</v>
      </c>
      <c r="Y121" s="107">
        <f t="shared" si="16"/>
        <v>2004</v>
      </c>
      <c r="Z121" s="5"/>
      <c r="AA121" s="5"/>
      <c r="AB121" s="5"/>
      <c r="AC121" s="5"/>
      <c r="AD121" s="149">
        <f t="shared" si="17"/>
        <v>0</v>
      </c>
      <c r="AE121" s="5"/>
      <c r="AF121" s="173">
        <f t="shared" si="7"/>
        <v>0</v>
      </c>
    </row>
    <row r="122" spans="3:32" ht="12.75">
      <c r="C122" s="107">
        <f t="shared" si="8"/>
        <v>2005</v>
      </c>
      <c r="D122" s="138">
        <f>IF(C122&lt;='Input - Existing Situation'!$G$3,+'Input - Existing Situation'!J138,+D15*Calculations!D117/Calculations!C117*'Input - Projection Parameters'!$E$148)</f>
        <v>2</v>
      </c>
      <c r="E122" s="138">
        <f>IF(C122&lt;='Input - Existing Situation'!$G$3,+'Input - Existing Situation'!$J$140+'Input - Existing Situation'!$J$141,+E15*'Input - Projection Parameters'!$E$150)</f>
        <v>0</v>
      </c>
      <c r="F122" s="138">
        <f>IF(C122&lt;='Input - Existing Situation'!$G$3,+'Input - Existing Situation'!$J$142,+F15*'Input - Projection Parameters'!$E$149)</f>
        <v>0</v>
      </c>
      <c r="G122" s="147">
        <f t="shared" si="9"/>
        <v>2</v>
      </c>
      <c r="H122" s="138">
        <f>IF(G122&lt;='Input - Existing Situation'!$G$3,+'Input - Existing Situation'!J160,0)</f>
        <v>0</v>
      </c>
      <c r="I122" s="138">
        <f>IF(H122&lt;='Input - Existing Situation'!$G$3,+'Input - Existing Situation'!K162,0)</f>
        <v>0</v>
      </c>
      <c r="J122" s="138">
        <f>IF(I122&lt;='Input - Existing Situation'!$G$3,+'Input - Existing Situation'!L161,0)</f>
        <v>0</v>
      </c>
      <c r="K122" s="147">
        <f t="shared" si="10"/>
        <v>0</v>
      </c>
      <c r="L122" s="147">
        <f t="shared" si="11"/>
        <v>2</v>
      </c>
      <c r="M122" s="116">
        <f t="shared" si="12"/>
        <v>5479.45205479452</v>
      </c>
      <c r="P122" s="107">
        <f t="shared" si="13"/>
        <v>2005</v>
      </c>
      <c r="Q122" s="170">
        <f t="shared" si="14"/>
        <v>5479.45205479452</v>
      </c>
      <c r="R122" s="161"/>
      <c r="S122" s="115">
        <f>+IF(P122&lt;='Input - Existing Situation'!$G$3,+'Input - Existing Situation'!$J$177*365-'Input - Existing Situation'!$J$163-'Input - Existing Situation'!$J$143,0)</f>
        <v>0</v>
      </c>
      <c r="T122" s="138">
        <f>IF(S122&lt;='Input - Existing Situation'!$G$3,+'Input - Existing Situation'!U166,0)</f>
        <v>0</v>
      </c>
      <c r="U122" s="161">
        <f t="shared" si="15"/>
        <v>5479.45205479452</v>
      </c>
      <c r="V122" s="115">
        <f>+U122*'Input - Projection Parameters'!$E$196</f>
        <v>6027.397260273973</v>
      </c>
      <c r="W122" s="116">
        <f>+U122*'Input - Projection Parameters'!$E$197</f>
        <v>10958.90410958904</v>
      </c>
      <c r="Y122" s="107">
        <f t="shared" si="16"/>
        <v>2005</v>
      </c>
      <c r="Z122" s="5"/>
      <c r="AA122" s="5"/>
      <c r="AB122" s="5"/>
      <c r="AC122" s="5"/>
      <c r="AD122" s="149">
        <f t="shared" si="17"/>
        <v>0</v>
      </c>
      <c r="AE122" s="5"/>
      <c r="AF122" s="173">
        <f t="shared" si="7"/>
        <v>0</v>
      </c>
    </row>
    <row r="123" spans="3:32" ht="12.75">
      <c r="C123" s="107">
        <f t="shared" si="8"/>
        <v>2006</v>
      </c>
      <c r="D123" s="138">
        <f>IF(C123&lt;='Input - Existing Situation'!$G$3,+'Input - Existing Situation'!K138,+D16*Calculations!D118/Calculations!C118*'Input - Projection Parameters'!$E$148)</f>
        <v>2</v>
      </c>
      <c r="E123" s="138">
        <f>IF(C123&lt;='Input - Existing Situation'!$G$3,+'Input - Existing Situation'!$K$140+'Input - Existing Situation'!$K$141,+E16*'Input - Projection Parameters'!$E$150)</f>
        <v>0</v>
      </c>
      <c r="F123" s="138">
        <f>IF(C123&lt;='Input - Existing Situation'!$G$3,+'Input - Existing Situation'!$K$142,+F16*'Input - Projection Parameters'!$E$149)</f>
        <v>0</v>
      </c>
      <c r="G123" s="147">
        <f t="shared" si="9"/>
        <v>2</v>
      </c>
      <c r="H123" s="138">
        <f>IF(G123&lt;='Input - Existing Situation'!$G$3,+'Input - Existing Situation'!$K$160,+'Input - Projection Parameters'!$F$160)</f>
        <v>0</v>
      </c>
      <c r="I123" s="138">
        <f>IF(H123&lt;='Input - Existing Situation'!$G$3,+'Input - Existing Situation'!$K$162,+'Input - Projection Parameters'!$F$162)</f>
        <v>0</v>
      </c>
      <c r="J123" s="138">
        <f>IF(I123&lt;='Input - Existing Situation'!$G$3,+'Input - Existing Situation'!$K$161,+'Input - Projection Parameters'!$F$161)</f>
        <v>0</v>
      </c>
      <c r="K123" s="147">
        <f t="shared" si="10"/>
        <v>0</v>
      </c>
      <c r="L123" s="147">
        <f t="shared" si="11"/>
        <v>2</v>
      </c>
      <c r="M123" s="116">
        <f t="shared" si="12"/>
        <v>5479.45205479452</v>
      </c>
      <c r="P123" s="107">
        <f t="shared" si="13"/>
        <v>2006</v>
      </c>
      <c r="Q123" s="170">
        <f t="shared" si="14"/>
        <v>5479.45205479452</v>
      </c>
      <c r="R123" s="161">
        <f>+Q123*(1-Calculations!G69)</f>
        <v>821.9178082191781</v>
      </c>
      <c r="S123" s="115">
        <f>+IF(P123&lt;='Input - Existing Situation'!$G$3,+'Input - Existing Situation'!$K$177*365-'Input - Existing Situation'!$K$163-'Input - Existing Situation'!$K$143,+Q123*(1-Calculations!F69)*Calculations!F69)</f>
        <v>0</v>
      </c>
      <c r="T123" s="138">
        <f>IF(S123&lt;='Input - Existing Situation'!$G$3,+'Input - Existing Situation'!$K$166,+'Input - Projection Parameters'!$F$166)</f>
        <v>0</v>
      </c>
      <c r="U123" s="161">
        <f t="shared" si="15"/>
        <v>4657.534246575342</v>
      </c>
      <c r="V123" s="115">
        <f>+U123*'Input - Projection Parameters'!$E$196</f>
        <v>5123.287671232876</v>
      </c>
      <c r="W123" s="116">
        <f>+U123*'Input - Projection Parameters'!$E$197</f>
        <v>9315.068493150684</v>
      </c>
      <c r="Y123" s="107">
        <f t="shared" si="16"/>
        <v>2006</v>
      </c>
      <c r="Z123" s="149">
        <f>+Calculations!I69*Calculations!D118/1000</f>
        <v>14315.762195121952</v>
      </c>
      <c r="AA123" s="5">
        <f>+SUM(E123:F123)*1000*Calculations!J69/1000000</f>
        <v>0</v>
      </c>
      <c r="AB123" s="5"/>
      <c r="AC123" s="5"/>
      <c r="AD123" s="149">
        <f t="shared" si="17"/>
        <v>14315.762195121952</v>
      </c>
      <c r="AE123" s="5"/>
      <c r="AF123" s="173">
        <f t="shared" si="7"/>
        <v>3073.678353658537</v>
      </c>
    </row>
    <row r="124" spans="3:32" ht="12.75">
      <c r="C124" s="107">
        <f t="shared" si="8"/>
        <v>2007</v>
      </c>
      <c r="D124" s="138">
        <f>IF(C124&lt;='Input - Existing Situation'!$G$3,+'Input - Existing Situation'!L138,+D17*Calculations!D119/Calculations!C119*'Input - Projection Parameters'!$E$148)</f>
        <v>16.721020293422924</v>
      </c>
      <c r="E124" s="138">
        <f>IF(C124&lt;='Input - Existing Situation'!$G$3,+'Input - Existing Situation'!$L$140+'Input - Existing Situation'!$L$141,+E17*'Input - Projection Parameters'!$E$150)</f>
        <v>11.0648399343326</v>
      </c>
      <c r="F124" s="138">
        <f>IF(C124&lt;='Input - Existing Situation'!$G$3,+'Input - Existing Situation'!$L$142,+F17*'Input - Projection Parameters'!$E$149)</f>
        <v>4.580818811463544</v>
      </c>
      <c r="G124" s="147">
        <f t="shared" si="9"/>
        <v>32.366679039219065</v>
      </c>
      <c r="H124" s="138">
        <f>IF(G124&lt;='Input - Existing Situation'!$G$3,+'Input - Existing Situation'!$L$160,+'Input - Projection Parameters'!$G$160)</f>
        <v>50</v>
      </c>
      <c r="I124" s="138">
        <f>IF(H124&lt;='Input - Existing Situation'!$G$3,+'Input - Existing Situation'!$L$162,+'Input - Projection Parameters'!$G$162)</f>
        <v>0</v>
      </c>
      <c r="J124" s="138">
        <f>IF(I124&lt;='Input - Existing Situation'!$G$3,+'Input - Existing Situation'!$L$161,+'Input - Projection Parameters'!$G$161)</f>
        <v>0</v>
      </c>
      <c r="K124" s="147">
        <f t="shared" si="10"/>
        <v>50</v>
      </c>
      <c r="L124" s="147">
        <f t="shared" si="11"/>
        <v>82.36667903921906</v>
      </c>
      <c r="M124" s="116">
        <f t="shared" si="12"/>
        <v>225662.13435402483</v>
      </c>
      <c r="P124" s="107">
        <f t="shared" si="13"/>
        <v>2007</v>
      </c>
      <c r="Q124" s="170">
        <f t="shared" si="14"/>
        <v>225662.13435402483</v>
      </c>
      <c r="R124" s="161">
        <f>+Q124*(1-Calculations!G70)</f>
        <v>31028.543473678405</v>
      </c>
      <c r="S124" s="115">
        <f>+IF(P124&lt;='Input - Existing Situation'!$G$3,+'Input - Existing Situation'!$L$177*365-'Input - Existing Situation'!$L$163-'Input - Existing Situation'!$L$143,+Q124*(1-Calculations!F70)*Calculations!F70)</f>
        <v>55146.18408276482</v>
      </c>
      <c r="T124" s="138">
        <f>IF(S124&lt;='Input - Existing Situation'!$G$3,+'Input - Existing Situation'!$L$166,+'Input - Projection Parameters'!$G$165)</f>
        <v>0</v>
      </c>
      <c r="U124" s="161">
        <f t="shared" si="15"/>
        <v>249779.77496311124</v>
      </c>
      <c r="V124" s="115">
        <f>+U124*'Input - Projection Parameters'!$E$196</f>
        <v>274757.7524594224</v>
      </c>
      <c r="W124" s="116">
        <f>+U124*'Input - Projection Parameters'!$E$197</f>
        <v>499559.5499262225</v>
      </c>
      <c r="Y124" s="107">
        <f t="shared" si="16"/>
        <v>2007</v>
      </c>
      <c r="Z124" s="149">
        <f>+Calculations!I70*Calculations!D119/1000</f>
        <v>15394.594602050902</v>
      </c>
      <c r="AA124" s="149">
        <f>+SUM(E124:F124)*1000*Calculations!J70/1000000</f>
        <v>3.1291317491592285</v>
      </c>
      <c r="AB124" s="5"/>
      <c r="AC124" s="5"/>
      <c r="AD124" s="149">
        <f t="shared" si="17"/>
        <v>15397.723733800061</v>
      </c>
      <c r="AE124" s="5"/>
      <c r="AF124" s="173">
        <f aca="true" t="shared" si="18" ref="AF124:AF157">+(AD124-AE124)*1000000/(U124*1000)</f>
        <v>61.64519819939015</v>
      </c>
    </row>
    <row r="125" spans="3:32" ht="12.75">
      <c r="C125" s="107">
        <f t="shared" si="8"/>
        <v>2008</v>
      </c>
      <c r="D125" s="138">
        <f>IF(C125&lt;='Input - Existing Situation'!$G$3,+'Input - Existing Situation'!M138,+D18*Calculations!D120/Calculations!C120*'Input - Projection Parameters'!$E$148)</f>
        <v>17.834128697981622</v>
      </c>
      <c r="E125" s="138">
        <f>IF(C125&lt;='Input - Existing Situation'!$G$3,+'Input - Existing Situation'!$M$140+'Input - Existing Situation'!$M$141,+E18*'Input - Projection Parameters'!$E$150)</f>
        <v>11.12044075500262</v>
      </c>
      <c r="F125" s="138">
        <f>IF(C125&lt;='Input - Existing Situation'!$G$3,+'Input - Existing Situation'!$M$142,+F18*'Input - Projection Parameters'!$E$149)</f>
        <v>3.9651069704361013</v>
      </c>
      <c r="G125" s="147">
        <f t="shared" si="9"/>
        <v>32.91967642342035</v>
      </c>
      <c r="H125" s="138">
        <f>IF(G125&lt;='Input - Existing Situation'!$G$3,+'Input - Existing Situation'!$M$160,+'Input - Projection Parameters'!$H$160)</f>
        <v>0</v>
      </c>
      <c r="I125" s="138">
        <f>IF(H125&lt;='Input - Existing Situation'!$G$3,+'Input - Existing Situation'!$M$162,+'Input - Projection Parameters'!$H$162)</f>
        <v>0</v>
      </c>
      <c r="J125" s="138">
        <f>IF(I125&lt;='Input - Existing Situation'!$G$3,+'Input - Existing Situation'!$M$161,+'Input - Projection Parameters'!$H$161)</f>
        <v>0</v>
      </c>
      <c r="K125" s="147">
        <f t="shared" si="10"/>
        <v>0</v>
      </c>
      <c r="L125" s="147">
        <f t="shared" si="11"/>
        <v>32.91967642342035</v>
      </c>
      <c r="M125" s="116">
        <f t="shared" si="12"/>
        <v>90190.89431074068</v>
      </c>
      <c r="P125" s="107">
        <f t="shared" si="13"/>
        <v>2008</v>
      </c>
      <c r="Q125" s="170">
        <f t="shared" si="14"/>
        <v>90190.89431074068</v>
      </c>
      <c r="R125" s="161">
        <f>+Q125*(1-Calculations!G71)</f>
        <v>11273.861788842585</v>
      </c>
      <c r="S125" s="115">
        <f>+IF(P125&lt;='Input - Existing Situation'!$G$3,+'Input - Existing Situation'!$M$177*365-'Input - Existing Situation'!$M$163-'Input - Existing Situation'!$M$143,+Q125*(1-Calculations!F71)*Calculations!F71)</f>
        <v>22322.246341908318</v>
      </c>
      <c r="T125" s="138">
        <f>IF(S125&lt;='Input - Existing Situation'!$G$3,+'Input - Existing Situation'!$M$166,+'Input - Projection Parameters'!$H$165)</f>
        <v>0</v>
      </c>
      <c r="U125" s="161">
        <f t="shared" si="15"/>
        <v>101239.27886380642</v>
      </c>
      <c r="V125" s="115">
        <f>+U125*'Input - Projection Parameters'!$E$196</f>
        <v>111363.20675018708</v>
      </c>
      <c r="W125" s="116">
        <f>+U125*'Input - Projection Parameters'!$E$197</f>
        <v>202478.55772761285</v>
      </c>
      <c r="Y125" s="107">
        <f t="shared" si="16"/>
        <v>2008</v>
      </c>
      <c r="Z125" s="149">
        <f>+Calculations!I71*Calculations!D120/1000</f>
        <v>16510.247135788144</v>
      </c>
      <c r="AA125" s="149">
        <f>+SUM(E125:F125)*1000*Calculations!J71/1000000</f>
        <v>3.0171095450877443</v>
      </c>
      <c r="AB125" s="5"/>
      <c r="AC125" s="5"/>
      <c r="AD125" s="149">
        <f t="shared" si="17"/>
        <v>16513.26424533323</v>
      </c>
      <c r="AE125" s="5"/>
      <c r="AF125" s="173">
        <f t="shared" si="18"/>
        <v>163.11123933970265</v>
      </c>
    </row>
    <row r="126" spans="3:32" ht="12.75">
      <c r="C126" s="107">
        <f t="shared" si="8"/>
        <v>2009</v>
      </c>
      <c r="D126" s="138">
        <f>IF(C126&lt;='Input - Existing Situation'!$G$3,+'Input - Existing Situation'!N138,+D19*Calculations!D121/Calculations!C121*'Input - Projection Parameters'!$E$148)</f>
        <v>18.979567658987353</v>
      </c>
      <c r="E126" s="138">
        <f>IF(C126&lt;='Input - Existing Situation'!$G$3,+'Input - Existing Situation'!$N$140+'Input - Existing Situation'!$N$141,+E19*'Input - Projection Parameters'!$E$150)</f>
        <v>11.17632096979651</v>
      </c>
      <c r="F126" s="138">
        <f>IF(C126&lt;='Input - Existing Situation'!$G$3,+'Input - Existing Situation'!$N$142,+F19*'Input - Projection Parameters'!$E$149)</f>
        <v>3.044191108145138</v>
      </c>
      <c r="G126" s="147">
        <f t="shared" si="9"/>
        <v>33.200079736929</v>
      </c>
      <c r="H126" s="138">
        <f>IF(G126&lt;='Input - Existing Situation'!$G$3,+'Input - Existing Situation'!$N$160,+'Input - Projection Parameters'!$I$160)</f>
        <v>0</v>
      </c>
      <c r="I126" s="138">
        <f>IF(H126&lt;='Input - Existing Situation'!$G$3,+'Input - Existing Situation'!$N$162,+'Input - Projection Parameters'!$I$162)</f>
        <v>0</v>
      </c>
      <c r="J126" s="138">
        <f>IF(I126&lt;='Input - Existing Situation'!$G$3,+'Input - Existing Situation'!$N$161,+'Input - Projection Parameters'!$I$161)</f>
        <v>0</v>
      </c>
      <c r="K126" s="147">
        <f t="shared" si="10"/>
        <v>0</v>
      </c>
      <c r="L126" s="147">
        <f t="shared" si="11"/>
        <v>33.200079736929</v>
      </c>
      <c r="M126" s="116">
        <f t="shared" si="12"/>
        <v>90959.12256692875</v>
      </c>
      <c r="P126" s="107">
        <f t="shared" si="13"/>
        <v>2009</v>
      </c>
      <c r="Q126" s="170">
        <f t="shared" si="14"/>
        <v>90959.12256692875</v>
      </c>
      <c r="R126" s="161">
        <f>+Q126*(1-Calculations!G72)</f>
        <v>10232.901288779489</v>
      </c>
      <c r="S126" s="115">
        <f>+IF(P126&lt;='Input - Existing Situation'!$G$3,+'Input - Existing Situation'!$N$177*365-'Input - Existing Situation'!$N$163-'Input - Existing Situation'!$N$143,+Q126*(1-Calculations!F72)*Calculations!F72)</f>
        <v>22682.931190127856</v>
      </c>
      <c r="T126" s="138">
        <f>IF(S126&lt;='Input - Existing Situation'!$G$3,+'Input - Existing Situation'!$N$166,+'Input - Projection Parameters'!$I$165)</f>
        <v>0</v>
      </c>
      <c r="U126" s="161">
        <f t="shared" si="15"/>
        <v>103409.15246827711</v>
      </c>
      <c r="V126" s="115">
        <f>+U126*'Input - Projection Parameters'!$E$196</f>
        <v>113750.06771510483</v>
      </c>
      <c r="W126" s="116">
        <f>+U126*'Input - Projection Parameters'!$E$197</f>
        <v>206818.30493655422</v>
      </c>
      <c r="Y126" s="107">
        <f t="shared" si="16"/>
        <v>2009</v>
      </c>
      <c r="Z126" s="149">
        <f>+Calculations!I72*Calculations!D121/1000</f>
        <v>17662.719796333673</v>
      </c>
      <c r="AA126" s="149">
        <f>+SUM(E126:F126)*1000*Calculations!J72/1000000</f>
        <v>2.8441024155883294</v>
      </c>
      <c r="AB126" s="5"/>
      <c r="AC126" s="5"/>
      <c r="AD126" s="149">
        <f t="shared" si="17"/>
        <v>17665.56389874926</v>
      </c>
      <c r="AE126" s="5"/>
      <c r="AF126" s="173">
        <f t="shared" si="18"/>
        <v>170.83172501745952</v>
      </c>
    </row>
    <row r="127" spans="3:32" ht="12.75">
      <c r="C127" s="107">
        <f t="shared" si="8"/>
        <v>2010</v>
      </c>
      <c r="D127" s="138">
        <f>IF(C127&lt;='Input - Existing Situation'!$G$3,+'Input - Existing Situation'!O138,+D20*Calculations!D122/Calculations!C122*'Input - Projection Parameters'!$E$148)</f>
        <v>20.157609262049167</v>
      </c>
      <c r="E127" s="138">
        <f>IF(C127&lt;='Input - Existing Situation'!$G$3,+'Input - Existing Situation'!$O$140+'Input - Existing Situation'!$O$141,+E20*'Input - Projection Parameters'!$E$150)</f>
        <v>11.23248198266974</v>
      </c>
      <c r="F127" s="138">
        <f>IF(C127&lt;='Input - Existing Situation'!$G$3,+'Input - Existing Situation'!$O$142,+F20*'Input - Projection Parameters'!$E$149)</f>
        <v>2.1232752458541744</v>
      </c>
      <c r="G127" s="147">
        <f t="shared" si="9"/>
        <v>33.513366490573084</v>
      </c>
      <c r="H127" s="138">
        <f>IF(G127&lt;='Input - Existing Situation'!$G$3,+'Input - Existing Situation'!$O$160,+'Input - Projection Parameters'!$J$160)</f>
        <v>0</v>
      </c>
      <c r="I127" s="138">
        <f>IF(H127&lt;='Input - Existing Situation'!$G$3,+'Input - Existing Situation'!$O$162,+'Input - Projection Parameters'!$J$162)</f>
        <v>0</v>
      </c>
      <c r="J127" s="138">
        <f>IF(I127&lt;='Input - Existing Situation'!$G$3,+'Input - Existing Situation'!$O$161,+'Input - Projection Parameters'!$J$161)</f>
        <v>0</v>
      </c>
      <c r="K127" s="147">
        <f t="shared" si="10"/>
        <v>0</v>
      </c>
      <c r="L127" s="147">
        <f t="shared" si="11"/>
        <v>33.513366490573084</v>
      </c>
      <c r="M127" s="116">
        <f t="shared" si="12"/>
        <v>91817.44243992626</v>
      </c>
      <c r="P127" s="107">
        <f t="shared" si="13"/>
        <v>2010</v>
      </c>
      <c r="Q127" s="170">
        <f t="shared" si="14"/>
        <v>91817.44243992626</v>
      </c>
      <c r="R127" s="161">
        <f>+Q127*(1-Calculations!G73)</f>
        <v>9181.744243992624</v>
      </c>
      <c r="S127" s="115">
        <f>+IF(P127&lt;='Input - Existing Situation'!$G$3,+'Input - Existing Situation'!$O$177*365-'Input - Existing Situation'!$O$163-'Input - Existing Situation'!$O$143,+Q127*(1-Calculations!F73)*Calculations!F73)</f>
        <v>22954.360609981566</v>
      </c>
      <c r="T127" s="138">
        <f>IF(S127&lt;='Input - Existing Situation'!$G$3,+'Input - Existing Situation'!$O$166,+'Input - Projection Parameters'!$J$165)</f>
        <v>0</v>
      </c>
      <c r="U127" s="161">
        <f t="shared" si="15"/>
        <v>105590.0588059152</v>
      </c>
      <c r="V127" s="115">
        <f>+U127*'Input - Projection Parameters'!$E$196</f>
        <v>116149.06468650674</v>
      </c>
      <c r="W127" s="116">
        <f>+U127*'Input - Projection Parameters'!$E$197</f>
        <v>211180.1176118304</v>
      </c>
      <c r="Y127" s="107">
        <f t="shared" si="16"/>
        <v>2010</v>
      </c>
      <c r="Z127" s="149">
        <f>+Calculations!I73*Calculations!D122/1000</f>
        <v>18852.01258368749</v>
      </c>
      <c r="AA127" s="149">
        <f>+SUM(E127:F127)*1000*Calculations!J73/1000000</f>
        <v>2.6711514457047825</v>
      </c>
      <c r="AB127" s="5"/>
      <c r="AC127" s="5"/>
      <c r="AD127" s="149">
        <f t="shared" si="17"/>
        <v>18854.683735133196</v>
      </c>
      <c r="AE127" s="5"/>
      <c r="AF127" s="173">
        <f t="shared" si="18"/>
        <v>178.5649515527777</v>
      </c>
    </row>
    <row r="128" spans="3:32" ht="12.75">
      <c r="C128" s="107">
        <f t="shared" si="8"/>
        <v>2011</v>
      </c>
      <c r="D128" s="138">
        <f>IF(C128&lt;='Input - Existing Situation'!$G$3,+'Input - Existing Situation'!P138,+D21*Calculations!D123/Calculations!C123*'Input - Projection Parameters'!$E$148)</f>
        <v>21.308927328031743</v>
      </c>
      <c r="E128" s="138">
        <f>IF(C128&lt;='Input - Existing Situation'!$G$3,+'Input - Existing Situation'!$P$140+'Input - Existing Situation'!$P$141,+E21*'Input - Projection Parameters'!$E$150)</f>
        <v>11.288925204632656</v>
      </c>
      <c r="F128" s="138">
        <f>IF(C128&lt;='Input - Existing Situation'!$G$3,+'Input - Existing Situation'!$P$142,+F21*'Input - Projection Parameters'!$E$149)</f>
        <v>2.117971447353773</v>
      </c>
      <c r="G128" s="147">
        <f t="shared" si="9"/>
        <v>34.71582398001817</v>
      </c>
      <c r="H128" s="138">
        <f>IF(G128&lt;='Input - Existing Situation'!$G$3,+'Input - Existing Situation'!$P$160,+'Input - Projection Parameters'!$K$160)</f>
        <v>0</v>
      </c>
      <c r="I128" s="138">
        <f>IF(H128&lt;='Input - Existing Situation'!$G$3,+'Input - Existing Situation'!$P$162,+'Input - Projection Parameters'!$K$162)</f>
        <v>0</v>
      </c>
      <c r="J128" s="138">
        <f>IF(I128&lt;='Input - Existing Situation'!$G$3,+'Input - Existing Situation'!$P$161,+'Input - Projection Parameters'!$K$161)</f>
        <v>0</v>
      </c>
      <c r="K128" s="147">
        <f t="shared" si="10"/>
        <v>0</v>
      </c>
      <c r="L128" s="147">
        <f t="shared" si="11"/>
        <v>34.71582398001817</v>
      </c>
      <c r="M128" s="116">
        <f t="shared" si="12"/>
        <v>95111.84652059773</v>
      </c>
      <c r="P128" s="107">
        <f t="shared" si="13"/>
        <v>2011</v>
      </c>
      <c r="Q128" s="170">
        <f t="shared" si="14"/>
        <v>95111.84652059773</v>
      </c>
      <c r="R128" s="161">
        <f>+Q128*(1-Calculations!G74)</f>
        <v>8560.066186853792</v>
      </c>
      <c r="S128" s="115">
        <f>+IF(P128&lt;='Input - Existing Situation'!$G$3,+'Input - Existing Situation'!$P$177*365-'Input - Existing Situation'!$P$163-'Input - Existing Situation'!$P$143,+Q128*(1-Calculations!F74)*Calculations!F74)</f>
        <v>23739.916891541194</v>
      </c>
      <c r="T128" s="138">
        <f>IF(S128&lt;='Input - Existing Situation'!$G$3,+'Input - Existing Situation'!$P$166,+'Input - Projection Parameters'!$K$165)</f>
        <v>0</v>
      </c>
      <c r="U128" s="161">
        <f t="shared" si="15"/>
        <v>110291.69722528514</v>
      </c>
      <c r="V128" s="115">
        <f>+U128*'Input - Projection Parameters'!$E$196</f>
        <v>121320.86694781366</v>
      </c>
      <c r="W128" s="116">
        <f>+U128*'Input - Projection Parameters'!$E$197</f>
        <v>220583.39445057028</v>
      </c>
      <c r="Y128" s="107">
        <f t="shared" si="16"/>
        <v>2011</v>
      </c>
      <c r="Z128" s="149">
        <f>+Calculations!I74*Calculations!D123/1000</f>
        <v>20118.133932147768</v>
      </c>
      <c r="AA128" s="149">
        <f>+SUM(E128:F128)*1000*Calculations!J74/1000000</f>
        <v>2.681379330397286</v>
      </c>
      <c r="AB128" s="5"/>
      <c r="AC128" s="5"/>
      <c r="AD128" s="149">
        <f t="shared" si="17"/>
        <v>20120.815311478167</v>
      </c>
      <c r="AE128" s="5"/>
      <c r="AF128" s="173">
        <f t="shared" si="18"/>
        <v>182.43272900569102</v>
      </c>
    </row>
    <row r="129" spans="3:32" ht="12.75">
      <c r="C129" s="107">
        <f t="shared" si="8"/>
        <v>2012</v>
      </c>
      <c r="D129" s="138">
        <f>IF(C129&lt;='Input - Existing Situation'!$G$3,+'Input - Existing Situation'!Q138,+D22*Calculations!D124/Calculations!C124*'Input - Projection Parameters'!$E$148)</f>
        <v>22.482214678012774</v>
      </c>
      <c r="E129" s="138">
        <f>IF(C129&lt;='Input - Existing Situation'!$G$3,+'Input - Existing Situation'!$Q$140+'Input - Existing Situation'!$Q$141,+E22*'Input - Projection Parameters'!$E$150)</f>
        <v>11.345652053785937</v>
      </c>
      <c r="F129" s="138">
        <f>IF(C129&lt;='Input - Existing Situation'!$G$3,+'Input - Existing Situation'!$Q$142,+F22*'Input - Projection Parameters'!$E$149)</f>
        <v>2.1126676488533715</v>
      </c>
      <c r="G129" s="147">
        <f t="shared" si="9"/>
        <v>35.94053438065208</v>
      </c>
      <c r="H129" s="138">
        <f>IF(G129&lt;='Input - Existing Situation'!$G$3,+'Input - Existing Situation'!$Q$160,+'Input - Projection Parameters'!$L$160)</f>
        <v>0</v>
      </c>
      <c r="I129" s="138">
        <f>IF(H129&lt;='Input - Existing Situation'!$G$3,+'Input - Existing Situation'!$Q$162,+'Input - Projection Parameters'!$L$162)</f>
        <v>0</v>
      </c>
      <c r="J129" s="138">
        <f>IF(I129&lt;='Input - Existing Situation'!$G$3,+'Input - Existing Situation'!$Q$161,+'Input - Projection Parameters'!$L$161)</f>
        <v>0</v>
      </c>
      <c r="K129" s="147">
        <f t="shared" si="10"/>
        <v>0</v>
      </c>
      <c r="L129" s="147">
        <f t="shared" si="11"/>
        <v>35.94053438065208</v>
      </c>
      <c r="M129" s="116">
        <f t="shared" si="12"/>
        <v>98467.2174812386</v>
      </c>
      <c r="P129" s="107">
        <f t="shared" si="13"/>
        <v>2012</v>
      </c>
      <c r="Q129" s="170">
        <f t="shared" si="14"/>
        <v>98467.2174812386</v>
      </c>
      <c r="R129" s="161">
        <f>+Q129*(1-Calculations!G75)</f>
        <v>7877.377398499084</v>
      </c>
      <c r="S129" s="115">
        <f>+IF(P129&lt;='Input - Existing Situation'!$G$3,+'Input - Existing Situation'!$Q$177*365-'Input - Existing Situation'!$Q$163-'Input - Existing Situation'!$Q$143,+Q129*(1-Calculations!F75)*Calculations!F75)</f>
        <v>24459.256822339667</v>
      </c>
      <c r="T129" s="138">
        <f>IF(S129&lt;='Input - Existing Situation'!$G$3,+'Input - Existing Situation'!$Q$166,+'Input - Projection Parameters'!$L$165)</f>
        <v>0</v>
      </c>
      <c r="U129" s="161">
        <f t="shared" si="15"/>
        <v>115049.09690507918</v>
      </c>
      <c r="V129" s="115">
        <f>+U129*'Input - Projection Parameters'!$E$196</f>
        <v>126554.00659558711</v>
      </c>
      <c r="W129" s="116">
        <f>+U129*'Input - Projection Parameters'!$E$197</f>
        <v>230098.19381015835</v>
      </c>
      <c r="Y129" s="107">
        <f t="shared" si="16"/>
        <v>2012</v>
      </c>
      <c r="Z129" s="149">
        <f>+Calculations!I75*Calculations!D124/1000</f>
        <v>21419.121205972224</v>
      </c>
      <c r="AA129" s="149">
        <f>+SUM(E129:F129)*1000*Calculations!J75/1000000</f>
        <v>2.6916639405278615</v>
      </c>
      <c r="AB129" s="5"/>
      <c r="AC129" s="5"/>
      <c r="AD129" s="149">
        <f t="shared" si="17"/>
        <v>21421.812869912752</v>
      </c>
      <c r="AE129" s="5"/>
      <c r="AF129" s="173">
        <f t="shared" si="18"/>
        <v>186.19714057891943</v>
      </c>
    </row>
    <row r="130" spans="3:32" ht="12.75">
      <c r="C130" s="107">
        <f t="shared" si="8"/>
        <v>2013</v>
      </c>
      <c r="D130" s="138">
        <f>IF(C130&lt;='Input - Existing Situation'!$G$3,+'Input - Existing Situation'!R138,+D23*Calculations!D125/Calculations!C125*'Input - Projection Parameters'!$E$148)</f>
        <v>23.677831749875608</v>
      </c>
      <c r="E130" s="138">
        <f>IF(C130&lt;='Input - Existing Situation'!$G$3,+'Input - Existing Situation'!$R$140+'Input - Existing Situation'!$R$141,+E23*'Input - Projection Parameters'!$E$150)</f>
        <v>11.402663955356214</v>
      </c>
      <c r="F130" s="138">
        <f>IF(C130&lt;='Input - Existing Situation'!$G$3,+'Input - Existing Situation'!$R$142,+F23*'Input - Projection Parameters'!$E$149)</f>
        <v>2.10736385035297</v>
      </c>
      <c r="G130" s="147">
        <f t="shared" si="9"/>
        <v>37.187859555584794</v>
      </c>
      <c r="H130" s="138">
        <f>IF(G130&lt;='Input - Existing Situation'!$G$3,+'Input - Existing Situation'!$R$160,+'Input - Projection Parameters'!$M$160)</f>
        <v>0</v>
      </c>
      <c r="I130" s="138">
        <f>IF(H130&lt;='Input - Existing Situation'!$G$3,+'Input - Existing Situation'!$R$162,+'Input - Projection Parameters'!$M$162)</f>
        <v>0</v>
      </c>
      <c r="J130" s="138">
        <f>IF(I130&lt;='Input - Existing Situation'!$G$3,+'Input - Existing Situation'!$R$161,+'Input - Projection Parameters'!$M$161)</f>
        <v>0</v>
      </c>
      <c r="K130" s="147">
        <f t="shared" si="10"/>
        <v>0</v>
      </c>
      <c r="L130" s="147">
        <f t="shared" si="11"/>
        <v>37.187859555584794</v>
      </c>
      <c r="M130" s="116">
        <f t="shared" si="12"/>
        <v>101884.54672762957</v>
      </c>
      <c r="P130" s="107">
        <f t="shared" si="13"/>
        <v>2013</v>
      </c>
      <c r="Q130" s="170">
        <f t="shared" si="14"/>
        <v>101884.54672762957</v>
      </c>
      <c r="R130" s="161">
        <f>+Q130*(1-Calculations!G76)</f>
        <v>7131.918270934065</v>
      </c>
      <c r="S130" s="115">
        <f>+IF(P130&lt;='Input - Existing Situation'!$G$3,+'Input - Existing Situation'!$R$177*365-'Input - Existing Situation'!$R$163-'Input - Existing Situation'!$R$143,+Q130*(1-Calculations!F76)*Calculations!F76)</f>
        <v>25104.352313687923</v>
      </c>
      <c r="T130" s="138">
        <f>IF(S130&lt;='Input - Existing Situation'!$G$3,+'Input - Existing Situation'!$R$166,+'Input - Projection Parameters'!$M$165)</f>
        <v>0</v>
      </c>
      <c r="U130" s="161">
        <f t="shared" si="15"/>
        <v>119856.98077038342</v>
      </c>
      <c r="V130" s="115">
        <f>+U130*'Input - Projection Parameters'!$E$196</f>
        <v>131842.67884742178</v>
      </c>
      <c r="W130" s="116">
        <f>+U130*'Input - Projection Parameters'!$E$197</f>
        <v>239713.96154076685</v>
      </c>
      <c r="Y130" s="107">
        <f t="shared" si="16"/>
        <v>2013</v>
      </c>
      <c r="Z130" s="149">
        <f>+Calculations!I76*Calculations!D125/1000</f>
        <v>22754.974405160854</v>
      </c>
      <c r="AA130" s="149">
        <f>+SUM(E130:F130)*1000*Calculations!J76/1000000</f>
        <v>2.7020055611418368</v>
      </c>
      <c r="AB130" s="5"/>
      <c r="AC130" s="5"/>
      <c r="AD130" s="149">
        <f t="shared" si="17"/>
        <v>22757.676410721997</v>
      </c>
      <c r="AE130" s="5"/>
      <c r="AF130" s="173">
        <f t="shared" si="18"/>
        <v>189.87359988918897</v>
      </c>
    </row>
    <row r="131" spans="3:32" ht="12.75">
      <c r="C131" s="107">
        <f t="shared" si="8"/>
        <v>2014</v>
      </c>
      <c r="D131" s="138">
        <f>IF(C131&lt;='Input - Existing Situation'!$G$3,+'Input - Existing Situation'!S138,+D24*Calculations!D126/Calculations!C126*'Input - Projection Parameters'!$E$148)</f>
        <v>24.89614460817569</v>
      </c>
      <c r="E131" s="138">
        <f>IF(C131&lt;='Input - Existing Situation'!$G$3,+'Input - Existing Situation'!$S$140+'Input - Existing Situation'!$S$141,+E24*'Input - Projection Parameters'!$E$150)</f>
        <v>11.45996234173188</v>
      </c>
      <c r="F131" s="138">
        <f>IF(C131&lt;='Input - Existing Situation'!$G$3,+'Input - Existing Situation'!$S$142,+F24*'Input - Projection Parameters'!$E$149)</f>
        <v>2.1020600518525687</v>
      </c>
      <c r="G131" s="147">
        <f t="shared" si="9"/>
        <v>38.45816700176014</v>
      </c>
      <c r="H131" s="138">
        <f>IF(G131&lt;='Input - Existing Situation'!$G$3,+'Input - Existing Situation'!$S$160,+'Input - Projection Parameters'!$N$160)</f>
        <v>0</v>
      </c>
      <c r="I131" s="138">
        <f>IF(H131&lt;='Input - Existing Situation'!$G$3,+'Input - Existing Situation'!$S$162,+'Input - Projection Parameters'!$N$162)</f>
        <v>0</v>
      </c>
      <c r="J131" s="138">
        <f>IF(I131&lt;='Input - Existing Situation'!$G$3,+'Input - Existing Situation'!$S$161,+'Input - Projection Parameters'!$N$161)</f>
        <v>0</v>
      </c>
      <c r="K131" s="147">
        <f t="shared" si="10"/>
        <v>0</v>
      </c>
      <c r="L131" s="147">
        <f t="shared" si="11"/>
        <v>38.45816700176014</v>
      </c>
      <c r="M131" s="116">
        <f t="shared" si="12"/>
        <v>105364.8411007127</v>
      </c>
      <c r="P131" s="107">
        <f t="shared" si="13"/>
        <v>2014</v>
      </c>
      <c r="Q131" s="170">
        <f t="shared" si="14"/>
        <v>105364.8411007127</v>
      </c>
      <c r="R131" s="161">
        <f>+Q131*(1-Calculations!G77)</f>
        <v>6321.890466042756</v>
      </c>
      <c r="S131" s="115">
        <f>+IF(P131&lt;='Input - Existing Situation'!$G$3,+'Input - Existing Situation'!$S$177*365-'Input - Existing Situation'!$S$163-'Input - Existing Situation'!$S$143,+Q131*(1-Calculations!F77)*Calculations!F77)</f>
        <v>25666.875292133613</v>
      </c>
      <c r="T131" s="138">
        <f>IF(S131&lt;='Input - Existing Situation'!$G$3,+'Input - Existing Situation'!$S$166,+'Input - Projection Parameters'!$N$165)</f>
        <v>0</v>
      </c>
      <c r="U131" s="161">
        <f t="shared" si="15"/>
        <v>124709.82592680356</v>
      </c>
      <c r="V131" s="115">
        <f>+U131*'Input - Projection Parameters'!$E$196</f>
        <v>137180.80851948392</v>
      </c>
      <c r="W131" s="116">
        <f>+U131*'Input - Projection Parameters'!$E$197</f>
        <v>249419.65185360712</v>
      </c>
      <c r="Y131" s="107">
        <f t="shared" si="16"/>
        <v>2014</v>
      </c>
      <c r="Z131" s="149">
        <f>+Calculations!I77*Calculations!D126/1000</f>
        <v>24125.69352971367</v>
      </c>
      <c r="AA131" s="149">
        <f>+SUM(E131:F131)*1000*Calculations!J77/1000000</f>
        <v>2.7124044787168895</v>
      </c>
      <c r="AB131" s="5"/>
      <c r="AC131" s="5"/>
      <c r="AD131" s="149">
        <f t="shared" si="17"/>
        <v>24128.405934192386</v>
      </c>
      <c r="AE131" s="5"/>
      <c r="AF131" s="173">
        <f t="shared" si="18"/>
        <v>193.47638211245817</v>
      </c>
    </row>
    <row r="132" spans="3:32" ht="12.75">
      <c r="C132" s="107">
        <f t="shared" si="8"/>
        <v>2015</v>
      </c>
      <c r="D132" s="138">
        <f>IF(C132&lt;='Input - Existing Situation'!$G$3,+'Input - Existing Situation'!T138,+D25*Calculations!D127/Calculations!C127*'Input - Projection Parameters'!$E$148)</f>
        <v>26.13752502962738</v>
      </c>
      <c r="E132" s="138">
        <f>IF(C132&lt;='Input - Existing Situation'!$G$3,+'Input - Existing Situation'!$T$140+'Input - Existing Situation'!$T$141,+E25*'Input - Projection Parameters'!$E$150)</f>
        <v>11.517548652499084</v>
      </c>
      <c r="F132" s="138">
        <f>IF(C132&lt;='Input - Existing Situation'!$G$3,+'Input - Existing Situation'!$T$142,+F25*'Input - Projection Parameters'!$E$149)</f>
        <v>2.0967562533521673</v>
      </c>
      <c r="G132" s="147">
        <f t="shared" si="9"/>
        <v>39.75182993547863</v>
      </c>
      <c r="H132" s="138">
        <f>IF(G132&lt;='Input - Existing Situation'!$G$3,+'Input - Existing Situation'!$T$160,+'Input - Projection Parameters'!$O$160)</f>
        <v>0</v>
      </c>
      <c r="I132" s="138">
        <f>IF(H132&lt;='Input - Existing Situation'!$G$3,+'Input - Existing Situation'!$T$162,+'Input - Projection Parameters'!$O$162)</f>
        <v>0</v>
      </c>
      <c r="J132" s="138">
        <f>IF(I132&lt;='Input - Existing Situation'!$G$3,+'Input - Existing Situation'!$T$161,+'Input - Projection Parameters'!$O$161)</f>
        <v>0</v>
      </c>
      <c r="K132" s="147">
        <f t="shared" si="10"/>
        <v>0</v>
      </c>
      <c r="L132" s="147">
        <f t="shared" si="11"/>
        <v>39.75182993547863</v>
      </c>
      <c r="M132" s="116">
        <f t="shared" si="12"/>
        <v>108909.12311090037</v>
      </c>
      <c r="P132" s="107">
        <f t="shared" si="13"/>
        <v>2015</v>
      </c>
      <c r="Q132" s="170">
        <f t="shared" si="14"/>
        <v>108909.12311090037</v>
      </c>
      <c r="R132" s="161">
        <f>+Q132*(1-Calculations!G78)</f>
        <v>5445.456155545024</v>
      </c>
      <c r="S132" s="115">
        <f>+IF(P132&lt;='Input - Existing Situation'!$G$3,+'Input - Existing Situation'!$T$177*365-'Input - Existing Situation'!$T$163-'Input - Existing Situation'!$T$143,+Q132*(1-Calculations!F78)*Calculations!F78)</f>
        <v>26138.18954661609</v>
      </c>
      <c r="T132" s="138">
        <f>IF(S132&lt;='Input - Existing Situation'!$G$3,+'Input - Existing Situation'!$T$166,+'Input - Projection Parameters'!$O$165)</f>
        <v>0</v>
      </c>
      <c r="U132" s="161">
        <f t="shared" si="15"/>
        <v>129601.85650197144</v>
      </c>
      <c r="V132" s="115">
        <f>+U132*'Input - Projection Parameters'!$E$196</f>
        <v>142562.0421521686</v>
      </c>
      <c r="W132" s="116">
        <f>+U132*'Input - Projection Parameters'!$E$197</f>
        <v>259203.7130039429</v>
      </c>
      <c r="Y132" s="107">
        <f t="shared" si="16"/>
        <v>2015</v>
      </c>
      <c r="Z132" s="149">
        <f>+Calculations!I78*Calculations!D127/1000</f>
        <v>25531.27857963065</v>
      </c>
      <c r="AA132" s="149">
        <f>+SUM(E132:F132)*1000*Calculations!J78/1000000</f>
        <v>2.72286098117025</v>
      </c>
      <c r="AB132" s="5"/>
      <c r="AC132" s="5"/>
      <c r="AD132" s="149">
        <f t="shared" si="17"/>
        <v>25534.00144061182</v>
      </c>
      <c r="AE132" s="5"/>
      <c r="AF132" s="173">
        <f t="shared" si="18"/>
        <v>197.0187937872897</v>
      </c>
    </row>
    <row r="133" spans="3:32" ht="12.75">
      <c r="C133" s="107">
        <f t="shared" si="8"/>
        <v>2016</v>
      </c>
      <c r="D133" s="138">
        <f>IF(C133&lt;='Input - Existing Situation'!$G$3,+'Input - Existing Situation'!U138,+D26*Calculations!D128/Calculations!C128*'Input - Projection Parameters'!$E$148)</f>
        <v>27.17438576548251</v>
      </c>
      <c r="E133" s="138">
        <f>IF(C133&lt;='Input - Existing Situation'!$G$3,+'Input - Existing Situation'!$U$140+'Input - Existing Situation'!$U$141,+E26*'Input - Projection Parameters'!$E$150)</f>
        <v>11.575424334477892</v>
      </c>
      <c r="F133" s="138">
        <f>IF(C133&lt;='Input - Existing Situation'!$G$3,+'Input - Existing Situation'!$U$142,+F26*'Input - Projection Parameters'!$E$149)</f>
        <v>2.088096270278247</v>
      </c>
      <c r="G133" s="147">
        <f t="shared" si="9"/>
        <v>40.83790637023865</v>
      </c>
      <c r="H133" s="138">
        <f>IF(G133&lt;='Input - Existing Situation'!$G$3,+'Input - Existing Situation'!$U$160,+'Input - Projection Parameters'!$P$160)</f>
        <v>0</v>
      </c>
      <c r="I133" s="138">
        <f>IF(H133&lt;='Input - Existing Situation'!$G$3,+'Input - Existing Situation'!$U$162,+'Input - Projection Parameters'!$P$162)</f>
        <v>0</v>
      </c>
      <c r="J133" s="138">
        <f>IF(I133&lt;='Input - Existing Situation'!$G$3,+'Input - Existing Situation'!$U$161,+'Input - Projection Parameters'!$P$161)</f>
        <v>0</v>
      </c>
      <c r="K133" s="147">
        <f t="shared" si="10"/>
        <v>0</v>
      </c>
      <c r="L133" s="147">
        <f t="shared" si="11"/>
        <v>40.83790637023865</v>
      </c>
      <c r="M133" s="116">
        <f t="shared" si="12"/>
        <v>111884.6749869552</v>
      </c>
      <c r="P133" s="107">
        <f t="shared" si="13"/>
        <v>2016</v>
      </c>
      <c r="Q133" s="170">
        <f t="shared" si="14"/>
        <v>111884.6749869552</v>
      </c>
      <c r="R133" s="161">
        <f>+Q133*(1-Calculations!G79)</f>
        <v>5370.464399373855</v>
      </c>
      <c r="S133" s="115">
        <f>+IF(P133&lt;='Input - Existing Situation'!$G$3,+'Input - Existing Situation'!$U$177*365-'Input - Existing Situation'!$U$163-'Input - Existing Situation'!$U$143,+Q133*(1-Calculations!F79)*Calculations!F79)</f>
        <v>26852.321996869247</v>
      </c>
      <c r="T133" s="138">
        <f>IF(S133&lt;='Input - Existing Situation'!$G$3,+'Input - Existing Situation'!$U$166,+'Input - Projection Parameters'!$P$165)</f>
        <v>0</v>
      </c>
      <c r="U133" s="161">
        <f t="shared" si="15"/>
        <v>133366.5325844506</v>
      </c>
      <c r="V133" s="115">
        <f>+U133*'Input - Projection Parameters'!$E$196</f>
        <v>146703.18584289565</v>
      </c>
      <c r="W133" s="116">
        <f>+U133*'Input - Projection Parameters'!$E$197</f>
        <v>266733.0651689012</v>
      </c>
      <c r="Y133" s="107">
        <f t="shared" si="16"/>
        <v>2016</v>
      </c>
      <c r="Z133" s="149">
        <f>+Calculations!I79*Calculations!D128/1000</f>
        <v>26747.347140305825</v>
      </c>
      <c r="AA133" s="149">
        <f>+SUM(E133:F133)*1000*Calculations!J79/1000000</f>
        <v>2.732704120951228</v>
      </c>
      <c r="AB133" s="5"/>
      <c r="AC133" s="5"/>
      <c r="AD133" s="149">
        <f t="shared" si="17"/>
        <v>26750.079844426775</v>
      </c>
      <c r="AE133" s="5"/>
      <c r="AF133" s="173">
        <f t="shared" si="18"/>
        <v>200.57565662125947</v>
      </c>
    </row>
    <row r="134" spans="3:32" ht="12.75">
      <c r="C134" s="107">
        <f t="shared" si="8"/>
        <v>2017</v>
      </c>
      <c r="D134" s="138">
        <f>IF(C134&lt;='Input - Existing Situation'!$G$3,+'Input - Existing Situation'!V138,+D27*Calculations!D129/Calculations!C129*'Input - Projection Parameters'!$E$148)</f>
        <v>28.23030898970106</v>
      </c>
      <c r="E134" s="138">
        <f>IF(C134&lt;='Input - Existing Situation'!$G$3,+'Input - Existing Situation'!$V$140+'Input - Existing Situation'!$V$141,+E27*'Input - Projection Parameters'!$E$150)</f>
        <v>11.633590841758647</v>
      </c>
      <c r="F134" s="138">
        <f>IF(C134&lt;='Input - Existing Situation'!$G$3,+'Input - Existing Situation'!$V$142,+F27*'Input - Projection Parameters'!$E$149)</f>
        <v>2.079436287204327</v>
      </c>
      <c r="G134" s="147">
        <f t="shared" si="9"/>
        <v>41.94333611866403</v>
      </c>
      <c r="H134" s="138">
        <f>IF(G134&lt;='Input - Existing Situation'!$G$3,+'Input - Existing Situation'!$V$160,+'Input - Projection Parameters'!$Q$160)</f>
        <v>0</v>
      </c>
      <c r="I134" s="138">
        <f>IF(H134&lt;='Input - Existing Situation'!$G$3,+'Input - Existing Situation'!$V$162,+'Input - Projection Parameters'!$Q$162)</f>
        <v>0</v>
      </c>
      <c r="J134" s="138">
        <f>IF(I134&lt;='Input - Existing Situation'!$G$3,+'Input - Existing Situation'!$V$161,+'Input - Projection Parameters'!$Q$161)</f>
        <v>0</v>
      </c>
      <c r="K134" s="147">
        <f t="shared" si="10"/>
        <v>0</v>
      </c>
      <c r="L134" s="147">
        <f t="shared" si="11"/>
        <v>41.94333611866403</v>
      </c>
      <c r="M134" s="116">
        <f t="shared" si="12"/>
        <v>114913.24964017542</v>
      </c>
      <c r="P134" s="107">
        <f t="shared" si="13"/>
        <v>2017</v>
      </c>
      <c r="Q134" s="170">
        <f t="shared" si="14"/>
        <v>114913.24964017542</v>
      </c>
      <c r="R134" s="161">
        <f>+Q134*(1-Calculations!G80)</f>
        <v>5286.009483448074</v>
      </c>
      <c r="S134" s="115">
        <f>+IF(P134&lt;='Input - Existing Situation'!$G$3,+'Input - Existing Situation'!$V$177*365-'Input - Existing Situation'!$V$163-'Input - Existing Situation'!$V$143,+Q134*(1-Calculations!F80)*Calculations!F80)</f>
        <v>27579.179913642103</v>
      </c>
      <c r="T134" s="138">
        <f>IF(S134&lt;='Input - Existing Situation'!$G$3,+'Input - Existing Situation'!$V$166,+'Input - Projection Parameters'!$Q$165)</f>
        <v>0</v>
      </c>
      <c r="U134" s="161">
        <f t="shared" si="15"/>
        <v>137206.42007036944</v>
      </c>
      <c r="V134" s="115">
        <f>+U134*'Input - Projection Parameters'!$E$196</f>
        <v>150927.0620774064</v>
      </c>
      <c r="W134" s="116">
        <f>+U134*'Input - Projection Parameters'!$E$197</f>
        <v>274412.8401407389</v>
      </c>
      <c r="Y134" s="107">
        <f t="shared" si="16"/>
        <v>2017</v>
      </c>
      <c r="Z134" s="149">
        <f>+Calculations!I80*Calculations!D129/1000</f>
        <v>27990.267968680677</v>
      </c>
      <c r="AA134" s="149">
        <f>+SUM(E134:F134)*1000*Calculations!J80/1000000</f>
        <v>2.7426054257925947</v>
      </c>
      <c r="AB134" s="5"/>
      <c r="AC134" s="5"/>
      <c r="AD134" s="149">
        <f t="shared" si="17"/>
        <v>27993.01057410647</v>
      </c>
      <c r="AE134" s="5"/>
      <c r="AF134" s="173">
        <f t="shared" si="18"/>
        <v>204.0211424490896</v>
      </c>
    </row>
    <row r="135" spans="3:32" ht="12.75">
      <c r="C135" s="107">
        <f t="shared" si="8"/>
        <v>2018</v>
      </c>
      <c r="D135" s="138">
        <f>IF(C135&lt;='Input - Existing Situation'!$G$3,+'Input - Existing Situation'!W138,+D28*Calculations!D130/Calculations!C130*'Input - Projection Parameters'!$E$148)</f>
        <v>29.30560311528003</v>
      </c>
      <c r="E135" s="138">
        <f>IF(C135&lt;='Input - Existing Situation'!$G$3,+'Input - Existing Situation'!$W$140+'Input - Existing Situation'!$W$141,+E28*'Input - Projection Parameters'!$E$150)</f>
        <v>11.692049635738485</v>
      </c>
      <c r="F135" s="138">
        <f>IF(C135&lt;='Input - Existing Situation'!$G$3,+'Input - Existing Situation'!$W$142,+F28*'Input - Projection Parameters'!$E$149)</f>
        <v>2.0707763041304066</v>
      </c>
      <c r="G135" s="147">
        <f t="shared" si="9"/>
        <v>43.06842905514892</v>
      </c>
      <c r="H135" s="138">
        <f>IF(G135&lt;='Input - Existing Situation'!$G$3,+'Input - Existing Situation'!$W$160,+'Input - Projection Parameters'!$R$160)</f>
        <v>0</v>
      </c>
      <c r="I135" s="138">
        <f>IF(H135&lt;='Input - Existing Situation'!$G$3,+'Input - Existing Situation'!$W$162,+'Input - Projection Parameters'!$R$162)</f>
        <v>0</v>
      </c>
      <c r="J135" s="138">
        <f>IF(I135&lt;='Input - Existing Situation'!$G$3,+'Input - Existing Situation'!$W$161,+'Input - Projection Parameters'!$R$161)</f>
        <v>0</v>
      </c>
      <c r="K135" s="147">
        <f t="shared" si="10"/>
        <v>0</v>
      </c>
      <c r="L135" s="147">
        <f t="shared" si="11"/>
        <v>43.06842905514892</v>
      </c>
      <c r="M135" s="116">
        <f t="shared" si="12"/>
        <v>117995.69604150388</v>
      </c>
      <c r="P135" s="107">
        <f t="shared" si="13"/>
        <v>2018</v>
      </c>
      <c r="Q135" s="170">
        <f t="shared" si="14"/>
        <v>117995.69604150388</v>
      </c>
      <c r="R135" s="161">
        <f>+Q135*(1-Calculations!G81)</f>
        <v>5191.810625826175</v>
      </c>
      <c r="S135" s="115">
        <f>+IF(P135&lt;='Input - Existing Situation'!$G$3,+'Input - Existing Situation'!$W$177*365-'Input - Existing Situation'!$W$163-'Input - Existing Situation'!$W$143,+Q135*(1-Calculations!F81)*Calculations!F81)</f>
        <v>28318.967049960935</v>
      </c>
      <c r="T135" s="138">
        <f>IF(S135&lt;='Input - Existing Situation'!$G$3,+'Input - Existing Situation'!$W$166,+'Input - Projection Parameters'!$R$165)</f>
        <v>0</v>
      </c>
      <c r="U135" s="161">
        <f t="shared" si="15"/>
        <v>141122.85246563866</v>
      </c>
      <c r="V135" s="115">
        <f>+U135*'Input - Projection Parameters'!$E$196</f>
        <v>155235.13771220253</v>
      </c>
      <c r="W135" s="116">
        <f>+U135*'Input - Projection Parameters'!$E$197</f>
        <v>282245.7049312773</v>
      </c>
      <c r="Y135" s="107">
        <f t="shared" si="16"/>
        <v>2018</v>
      </c>
      <c r="Z135" s="149">
        <f>+Calculations!I81*Calculations!D130/1000</f>
        <v>29260.041064755205</v>
      </c>
      <c r="AA135" s="149">
        <f>+SUM(E135:F135)*1000*Calculations!J81/1000000</f>
        <v>2.752565187973778</v>
      </c>
      <c r="AB135" s="5"/>
      <c r="AC135" s="5"/>
      <c r="AD135" s="149">
        <f t="shared" si="17"/>
        <v>29262.79362994318</v>
      </c>
      <c r="AE135" s="5"/>
      <c r="AF135" s="173">
        <f t="shared" si="18"/>
        <v>207.356874656911</v>
      </c>
    </row>
    <row r="136" spans="3:32" ht="12.75">
      <c r="C136" s="107">
        <f t="shared" si="8"/>
        <v>2019</v>
      </c>
      <c r="D136" s="138">
        <f>IF(C136&lt;='Input - Existing Situation'!$G$3,+'Input - Existing Situation'!X138,+D29*Calculations!D131/Calculations!C131*'Input - Projection Parameters'!$E$148)</f>
        <v>30.400581332176394</v>
      </c>
      <c r="E136" s="138">
        <f>IF(C136&lt;='Input - Existing Situation'!$G$3,+'Input - Existing Situation'!$X$140+'Input - Existing Situation'!$X$141,+E29*'Input - Projection Parameters'!$E$150)</f>
        <v>11.750802185158072</v>
      </c>
      <c r="F136" s="138">
        <f>IF(C136&lt;='Input - Existing Situation'!$G$3,+'Input - Existing Situation'!$X$142,+F29*'Input - Projection Parameters'!$E$149)</f>
        <v>2.0621163210564863</v>
      </c>
      <c r="G136" s="147">
        <f t="shared" si="9"/>
        <v>44.21349983839095</v>
      </c>
      <c r="H136" s="138">
        <f>IF(G136&lt;='Input - Existing Situation'!$G$3,+'Input - Existing Situation'!$X$160,+'Input - Projection Parameters'!$S$160)</f>
        <v>0</v>
      </c>
      <c r="I136" s="138">
        <f>IF(H136&lt;='Input - Existing Situation'!$G$3,+'Input - Existing Situation'!$X$162,+'Input - Projection Parameters'!$S$162)</f>
        <v>0</v>
      </c>
      <c r="J136" s="138">
        <f>IF(I136&lt;='Input - Existing Situation'!$G$3,+'Input - Existing Situation'!$X$161,+'Input - Projection Parameters'!$S$161)</f>
        <v>0</v>
      </c>
      <c r="K136" s="147">
        <f t="shared" si="10"/>
        <v>0</v>
      </c>
      <c r="L136" s="147">
        <f t="shared" si="11"/>
        <v>44.21349983839095</v>
      </c>
      <c r="M136" s="116">
        <f t="shared" si="12"/>
        <v>121132.87626956425</v>
      </c>
      <c r="P136" s="107">
        <f t="shared" si="13"/>
        <v>2019</v>
      </c>
      <c r="Q136" s="170">
        <f t="shared" si="14"/>
        <v>121132.87626956425</v>
      </c>
      <c r="R136" s="161">
        <f>+Q136*(1-Calculations!G82)</f>
        <v>5087.580803321703</v>
      </c>
      <c r="S136" s="115">
        <f>+IF(P136&lt;='Input - Existing Situation'!$G$3,+'Input - Existing Situation'!$X$177*365-'Input - Existing Situation'!$X$163-'Input - Existing Situation'!$X$143,+Q136*(1-Calculations!F82)*Calculations!F82)</f>
        <v>29071.890304695422</v>
      </c>
      <c r="T136" s="138">
        <f>IF(S136&lt;='Input - Existing Situation'!$G$3,+'Input - Existing Situation'!$X$166,+'Input - Projection Parameters'!$S$165)</f>
        <v>0</v>
      </c>
      <c r="U136" s="161">
        <f t="shared" si="15"/>
        <v>145117.18577093797</v>
      </c>
      <c r="V136" s="115">
        <f>+U136*'Input - Projection Parameters'!$E$196</f>
        <v>159628.9043480318</v>
      </c>
      <c r="W136" s="116">
        <f>+U136*'Input - Projection Parameters'!$E$197</f>
        <v>290234.37154187594</v>
      </c>
      <c r="Y136" s="107">
        <f t="shared" si="16"/>
        <v>2019</v>
      </c>
      <c r="Z136" s="149">
        <f>+Calculations!I82*Calculations!D131/1000</f>
        <v>30556.66642852941</v>
      </c>
      <c r="AA136" s="149">
        <f>+SUM(E136:F136)*1000*Calculations!J82/1000000</f>
        <v>2.7625837012429115</v>
      </c>
      <c r="AB136" s="5"/>
      <c r="AC136" s="5"/>
      <c r="AD136" s="149">
        <f t="shared" si="17"/>
        <v>30559.429012230652</v>
      </c>
      <c r="AE136" s="5"/>
      <c r="AF136" s="173">
        <f t="shared" si="18"/>
        <v>210.58449314519896</v>
      </c>
    </row>
    <row r="137" spans="3:32" ht="12.75">
      <c r="C137" s="107">
        <f t="shared" si="8"/>
        <v>2020</v>
      </c>
      <c r="D137" s="138">
        <f>IF(C137&lt;='Input - Existing Situation'!$G$3,+'Input - Existing Situation'!Y138,+D30*Calculations!D132/Calculations!C132*'Input - Projection Parameters'!$E$148)</f>
        <v>31.515561679497523</v>
      </c>
      <c r="E137" s="138">
        <f>IF(C137&lt;='Input - Existing Situation'!$G$3,+'Input - Existing Situation'!$Y$140+'Input - Existing Situation'!$Y$141,+E30*'Input - Projection Parameters'!$E$150)</f>
        <v>11.809849966138493</v>
      </c>
      <c r="F137" s="138">
        <f>IF(C137&lt;='Input - Existing Situation'!$G$3,+'Input - Existing Situation'!$Y$142,+F30*'Input - Projection Parameters'!$E$149)</f>
        <v>2.0534563379825657</v>
      </c>
      <c r="G137" s="147">
        <f t="shared" si="9"/>
        <v>45.37886798361858</v>
      </c>
      <c r="H137" s="138">
        <f>IF(G137&lt;='Input - Existing Situation'!$G$3,+'Input - Existing Situation'!$Y$160,+'Input - Projection Parameters'!$T$160)</f>
        <v>0</v>
      </c>
      <c r="I137" s="138">
        <f>IF(H137&lt;='Input - Existing Situation'!$G$3,+'Input - Existing Situation'!$Y$162,+'Input - Projection Parameters'!$T$162)</f>
        <v>0</v>
      </c>
      <c r="J137" s="138">
        <f>IF(I137&lt;='Input - Existing Situation'!$G$3,+'Input - Existing Situation'!$Y$161,+'Input - Projection Parameters'!$T$161)</f>
        <v>0</v>
      </c>
      <c r="K137" s="147">
        <f t="shared" si="10"/>
        <v>0</v>
      </c>
      <c r="L137" s="147">
        <f t="shared" si="11"/>
        <v>45.37886798361858</v>
      </c>
      <c r="M137" s="116">
        <f t="shared" si="12"/>
        <v>124325.66570854405</v>
      </c>
      <c r="P137" s="107">
        <f t="shared" si="13"/>
        <v>2020</v>
      </c>
      <c r="Q137" s="170">
        <f t="shared" si="14"/>
        <v>124325.66570854405</v>
      </c>
      <c r="R137" s="161">
        <f>+Q137*(1-Calculations!G83)</f>
        <v>4973.026628341767</v>
      </c>
      <c r="S137" s="115">
        <f>+IF(P137&lt;='Input - Existing Situation'!$G$3,+'Input - Existing Situation'!$Y$177*365-'Input - Existing Situation'!$Y$163-'Input - Existing Situation'!$Y$143,+Q137*(1-Calculations!F83)*Calculations!F83)</f>
        <v>29838.15977005057</v>
      </c>
      <c r="T137" s="138">
        <f>IF(S137&lt;='Input - Existing Situation'!$G$3,+'Input - Existing Situation'!$Y$166,+'Input - Projection Parameters'!$T$165)</f>
        <v>0</v>
      </c>
      <c r="U137" s="161">
        <f t="shared" si="15"/>
        <v>149190.79885025285</v>
      </c>
      <c r="V137" s="115">
        <f>+U137*'Input - Projection Parameters'!$E$196</f>
        <v>164109.87873527815</v>
      </c>
      <c r="W137" s="116">
        <f>+U137*'Input - Projection Parameters'!$E$197</f>
        <v>298381.5977005057</v>
      </c>
      <c r="Y137" s="107">
        <f t="shared" si="16"/>
        <v>2020</v>
      </c>
      <c r="Z137" s="149">
        <f>+Calculations!I83*Calculations!D132/1000</f>
        <v>31880.144060003302</v>
      </c>
      <c r="AA137" s="149">
        <f>+SUM(E137:F137)*1000*Calculations!J83/1000000</f>
        <v>2.772661260824212</v>
      </c>
      <c r="AB137" s="5"/>
      <c r="AC137" s="5"/>
      <c r="AD137" s="149">
        <f t="shared" si="17"/>
        <v>31882.916721264126</v>
      </c>
      <c r="AE137" s="5"/>
      <c r="AF137" s="173">
        <f t="shared" si="18"/>
        <v>213.7056505291988</v>
      </c>
    </row>
    <row r="138" spans="3:32" ht="12.75">
      <c r="C138" s="107">
        <f t="shared" si="8"/>
        <v>2021</v>
      </c>
      <c r="D138" s="138">
        <f>IF(C138&lt;='Input - Existing Situation'!$G$3,+'Input - Existing Situation'!Z138,+D31*Calculations!D133/Calculations!C133*'Input - Projection Parameters'!$E$148)</f>
        <v>32.742013548777805</v>
      </c>
      <c r="E138" s="138">
        <f>IF(C138&lt;='Input - Existing Situation'!$G$3,+'Input - Existing Situation'!$Z$140+'Input - Existing Situation'!$Z$141,+E31*'Input - Projection Parameters'!$E$150)</f>
        <v>11.869194462218339</v>
      </c>
      <c r="F138" s="138">
        <f>IF(C138&lt;='Input - Existing Situation'!$G$3,+'Input - Existing Situation'!$Z$142,+F31*'Input - Projection Parameters'!$E$149)</f>
        <v>2.0409530901911013</v>
      </c>
      <c r="G138" s="147">
        <f t="shared" si="9"/>
        <v>46.65216110118725</v>
      </c>
      <c r="H138" s="138">
        <f>IF(G138&lt;='Input - Existing Situation'!$G$3,+'Input - Existing Situation'!$Z$160,+'Input - Projection Parameters'!$U$160)</f>
        <v>0</v>
      </c>
      <c r="I138" s="138">
        <f>IF(H138&lt;='Input - Existing Situation'!$G$3,+'Input - Existing Situation'!$Z$162,+'Input - Projection Parameters'!$U$162)</f>
        <v>0</v>
      </c>
      <c r="J138" s="138">
        <f>IF(I138&lt;='Input - Existing Situation'!$G$3,+'Input - Existing Situation'!$Z$161,+'Input - Projection Parameters'!$U$161)</f>
        <v>0</v>
      </c>
      <c r="K138" s="147">
        <f t="shared" si="10"/>
        <v>0</v>
      </c>
      <c r="L138" s="147">
        <f t="shared" si="11"/>
        <v>46.65216110118725</v>
      </c>
      <c r="M138" s="116">
        <f t="shared" si="12"/>
        <v>127814.14000325273</v>
      </c>
      <c r="P138" s="107">
        <f t="shared" si="13"/>
        <v>2021</v>
      </c>
      <c r="Q138" s="170">
        <f t="shared" si="14"/>
        <v>127814.14000325273</v>
      </c>
      <c r="R138" s="161">
        <f>+Q138*(1-Calculations!G84)</f>
        <v>4856.9373201236085</v>
      </c>
      <c r="S138" s="115">
        <f>+IF(P138&lt;='Input - Existing Situation'!$G$3,+'Input - Existing Situation'!$Z$177*365-'Input - Existing Situation'!$Z$163-'Input - Existing Situation'!$Z$143,+Q138*(1-Calculations!F84)*Calculations!F84)</f>
        <v>30406.98390677382</v>
      </c>
      <c r="T138" s="138">
        <f>IF(S138&lt;='Input - Existing Situation'!$G$3,+'Input - Existing Situation'!$Z$166,+'Input - Projection Parameters'!$U$165)</f>
        <v>0</v>
      </c>
      <c r="U138" s="161">
        <f t="shared" si="15"/>
        <v>153364.18658990294</v>
      </c>
      <c r="V138" s="115">
        <f>+U138*'Input - Projection Parameters'!$E$196</f>
        <v>168700.60524889323</v>
      </c>
      <c r="W138" s="116">
        <f>+U138*'Input - Projection Parameters'!$E$197</f>
        <v>306728.3731798059</v>
      </c>
      <c r="Y138" s="107">
        <f t="shared" si="16"/>
        <v>2021</v>
      </c>
      <c r="Z138" s="149">
        <f>+Calculations!I84*Calculations!D133/1000</f>
        <v>32776.955792387096</v>
      </c>
      <c r="AA138" s="149">
        <f>+SUM(E138:F138)*1000*Calculations!J84/1000000</f>
        <v>2.7820295104818875</v>
      </c>
      <c r="AB138" s="5"/>
      <c r="AC138" s="5"/>
      <c r="AD138" s="149">
        <f t="shared" si="17"/>
        <v>32779.73782189758</v>
      </c>
      <c r="AE138" s="5"/>
      <c r="AF138" s="173">
        <f t="shared" si="18"/>
        <v>213.7378911645837</v>
      </c>
    </row>
    <row r="139" spans="3:32" ht="12.75">
      <c r="C139" s="107">
        <f t="shared" si="8"/>
        <v>2022</v>
      </c>
      <c r="D139" s="138">
        <f>IF(C139&lt;='Input - Existing Situation'!$G$3,+'Input - Existing Situation'!AA138,+D32*Calculations!D134/Calculations!C134*'Input - Projection Parameters'!$E$148)</f>
        <v>33.99103235636775</v>
      </c>
      <c r="E139" s="138">
        <f>IF(C139&lt;='Input - Existing Situation'!$G$3,+'Input - Existing Situation'!$AA$140+'Input - Existing Situation'!$AA$141,+E32*'Input - Projection Parameters'!$E$150)</f>
        <v>11.928837164390988</v>
      </c>
      <c r="F139" s="138">
        <f>IF(C139&lt;='Input - Existing Situation'!$G$3,+'Input - Existing Situation'!$AA$142,+F32*'Input - Projection Parameters'!$E$149)</f>
        <v>2.028449842399637</v>
      </c>
      <c r="G139" s="147">
        <f t="shared" si="9"/>
        <v>47.948319363158376</v>
      </c>
      <c r="H139" s="138">
        <f>IF(G139&lt;='Input - Existing Situation'!$G$3,+'Input - Existing Situation'!$AA$160,+'Input - Projection Parameters'!$V$160)</f>
        <v>0</v>
      </c>
      <c r="I139" s="138">
        <f>IF(H139&lt;='Input - Existing Situation'!$G$3,+'Input - Existing Situation'!$AA$162,+'Input - Projection Parameters'!$V$162)</f>
        <v>0</v>
      </c>
      <c r="J139" s="138">
        <f>IF(I139&lt;='Input - Existing Situation'!$G$3,+'Input - Existing Situation'!$AA$161,+'Input - Projection Parameters'!$V$161)</f>
        <v>0</v>
      </c>
      <c r="K139" s="147">
        <f t="shared" si="10"/>
        <v>0</v>
      </c>
      <c r="L139" s="147">
        <f t="shared" si="11"/>
        <v>47.948319363158376</v>
      </c>
      <c r="M139" s="116">
        <f t="shared" si="12"/>
        <v>131365.25852920103</v>
      </c>
      <c r="P139" s="107">
        <f t="shared" si="13"/>
        <v>2022</v>
      </c>
      <c r="Q139" s="170">
        <f t="shared" si="14"/>
        <v>131365.25852920103</v>
      </c>
      <c r="R139" s="161">
        <f>+Q139*(1-Calculations!G85)</f>
        <v>4729.1493070512415</v>
      </c>
      <c r="S139" s="115">
        <f>+IF(P139&lt;='Input - Existing Situation'!$G$3,+'Input - Existing Situation'!$AA$177*365-'Input - Existing Situation'!$AA$163-'Input - Existing Situation'!$AA$143,+Q139*(1-Calculations!F85)*Calculations!F85)</f>
        <v>30949.654909479767</v>
      </c>
      <c r="T139" s="138">
        <f>IF(S139&lt;='Input - Existing Situation'!$G$3,+'Input - Existing Situation'!$AA$166,+'Input - Projection Parameters'!$V$165)</f>
        <v>0</v>
      </c>
      <c r="U139" s="161">
        <f t="shared" si="15"/>
        <v>157585.76413162955</v>
      </c>
      <c r="V139" s="115">
        <f>+U139*'Input - Projection Parameters'!$E$196</f>
        <v>173344.3405447925</v>
      </c>
      <c r="W139" s="116">
        <f>+U139*'Input - Projection Parameters'!$E$197</f>
        <v>315171.5282632591</v>
      </c>
      <c r="Y139" s="107">
        <f t="shared" si="16"/>
        <v>2022</v>
      </c>
      <c r="Z139" s="149">
        <f>+Calculations!I85*Calculations!D134/1000</f>
        <v>33673.76752477088</v>
      </c>
      <c r="AA139" s="149">
        <f>+SUM(E139:F139)*1000*Calculations!J85/1000000</f>
        <v>2.791457401358125</v>
      </c>
      <c r="AB139" s="5"/>
      <c r="AC139" s="5"/>
      <c r="AD139" s="149">
        <f t="shared" si="17"/>
        <v>33676.55898217224</v>
      </c>
      <c r="AE139" s="5"/>
      <c r="AF139" s="173">
        <f t="shared" si="18"/>
        <v>213.7030534943664</v>
      </c>
    </row>
    <row r="140" spans="3:32" ht="12.75">
      <c r="C140" s="107">
        <f t="shared" si="8"/>
        <v>2023</v>
      </c>
      <c r="D140" s="138">
        <f>IF(C140&lt;='Input - Existing Situation'!$G$3,+'Input - Existing Situation'!AB138,+D33*Calculations!D135/Calculations!C135*'Input - Projection Parameters'!$E$148)</f>
        <v>35.262983766706405</v>
      </c>
      <c r="E140" s="138">
        <f>IF(C140&lt;='Input - Existing Situation'!$G$3,+'Input - Existing Situation'!$AB$140+'Input - Existing Situation'!$AB$141,+E33*'Input - Projection Parameters'!$E$150)</f>
        <v>11.988779571142054</v>
      </c>
      <c r="F140" s="138">
        <f>IF(C140&lt;='Input - Existing Situation'!$G$3,+'Input - Existing Situation'!$AB$142,+F33*'Input - Projection Parameters'!$E$149)</f>
        <v>2.015946594608172</v>
      </c>
      <c r="G140" s="147">
        <f t="shared" si="9"/>
        <v>49.26770993245663</v>
      </c>
      <c r="H140" s="138">
        <f>IF(G140&lt;='Input - Existing Situation'!$G$3,+'Input - Existing Situation'!$AB$160,+'Input - Projection Parameters'!$W$160)</f>
        <v>0</v>
      </c>
      <c r="I140" s="138">
        <f>IF(H140&lt;='Input - Existing Situation'!$G$3,+'Input - Existing Situation'!$AB$162,+'Input - Projection Parameters'!$W$162)</f>
        <v>0</v>
      </c>
      <c r="J140" s="138">
        <f>IF(I140&lt;='Input - Existing Situation'!$G$3,+'Input - Existing Situation'!$AB$161,+'Input - Projection Parameters'!$W$161)</f>
        <v>0</v>
      </c>
      <c r="K140" s="147">
        <f t="shared" si="10"/>
        <v>0</v>
      </c>
      <c r="L140" s="147">
        <f t="shared" si="11"/>
        <v>49.26770993245663</v>
      </c>
      <c r="M140" s="116">
        <f t="shared" si="12"/>
        <v>134980.02721220994</v>
      </c>
      <c r="P140" s="107">
        <f t="shared" si="13"/>
        <v>2023</v>
      </c>
      <c r="Q140" s="170">
        <f t="shared" si="14"/>
        <v>134980.02721220994</v>
      </c>
      <c r="R140" s="161">
        <f>+Q140*(1-Calculations!G86)</f>
        <v>4589.320925215142</v>
      </c>
      <c r="S140" s="115">
        <f>+IF(P140&lt;='Input - Existing Situation'!$G$3,+'Input - Existing Situation'!$AB$177*365-'Input - Existing Situation'!$AB$163-'Input - Existing Situation'!$AB$143,+Q140*(1-Calculations!F86)*Calculations!F86)</f>
        <v>31463.844343166136</v>
      </c>
      <c r="T140" s="138">
        <f>IF(S140&lt;='Input - Existing Situation'!$G$3,+'Input - Existing Situation'!$AB$166,+'Input - Projection Parameters'!$W$165)</f>
        <v>0</v>
      </c>
      <c r="U140" s="161">
        <f t="shared" si="15"/>
        <v>161854.55063016093</v>
      </c>
      <c r="V140" s="115">
        <f>+U140*'Input - Projection Parameters'!$E$196</f>
        <v>178040.00569317702</v>
      </c>
      <c r="W140" s="116">
        <f>+U140*'Input - Projection Parameters'!$E$197</f>
        <v>323709.10126032186</v>
      </c>
      <c r="Y140" s="107">
        <f t="shared" si="16"/>
        <v>2023</v>
      </c>
      <c r="Z140" s="149">
        <f>+Calculations!I86*Calculations!D135/1000</f>
        <v>34570.57925715468</v>
      </c>
      <c r="AA140" s="149">
        <f>+SUM(E140:F140)*1000*Calculations!J86/1000000</f>
        <v>2.8009452331500455</v>
      </c>
      <c r="AB140" s="5"/>
      <c r="AC140" s="5"/>
      <c r="AD140" s="149">
        <f t="shared" si="17"/>
        <v>34573.38020238783</v>
      </c>
      <c r="AE140" s="5"/>
      <c r="AF140" s="173">
        <f t="shared" si="18"/>
        <v>213.60771178679005</v>
      </c>
    </row>
    <row r="141" spans="3:32" ht="12.75">
      <c r="C141" s="107">
        <f t="shared" si="8"/>
        <v>2024</v>
      </c>
      <c r="D141" s="138">
        <f>IF(C141&lt;='Input - Existing Situation'!$G$3,+'Input - Existing Situation'!AC138,+D34*Calculations!D136/Calculations!C136*'Input - Projection Parameters'!$E$148)</f>
        <v>36.5582391135226</v>
      </c>
      <c r="E141" s="138">
        <f>IF(C141&lt;='Input - Existing Situation'!$G$3,+'Input - Existing Situation'!$AC$140+'Input - Existing Situation'!$AC$141,+E34*'Input - Projection Parameters'!$E$150)</f>
        <v>12.049023188487045</v>
      </c>
      <c r="F141" s="138">
        <f>IF(C141&lt;='Input - Existing Situation'!$G$3,+'Input - Existing Situation'!$AC$142,+F34*'Input - Projection Parameters'!$E$149)</f>
        <v>2.0034433468167077</v>
      </c>
      <c r="G141" s="147">
        <f t="shared" si="9"/>
        <v>50.610705648826354</v>
      </c>
      <c r="H141" s="138">
        <f>IF(G141&lt;='Input - Existing Situation'!$G$3,+'Input - Existing Situation'!$AC$160,+'Input - Projection Parameters'!$X$160)</f>
        <v>0</v>
      </c>
      <c r="I141" s="138">
        <f>IF(H141&lt;='Input - Existing Situation'!$G$3,+'Input - Existing Situation'!$AC$162,+'Input - Projection Parameters'!$X$162)</f>
        <v>0</v>
      </c>
      <c r="J141" s="138">
        <f>IF(I141&lt;='Input - Existing Situation'!$G$3,+'Input - Existing Situation'!$AC$161,+'Input - Projection Parameters'!$X$161)</f>
        <v>0</v>
      </c>
      <c r="K141" s="147">
        <f t="shared" si="10"/>
        <v>0</v>
      </c>
      <c r="L141" s="147">
        <f t="shared" si="11"/>
        <v>50.610705648826354</v>
      </c>
      <c r="M141" s="116">
        <f t="shared" si="12"/>
        <v>138659.4675310311</v>
      </c>
      <c r="P141" s="107">
        <f t="shared" si="13"/>
        <v>2024</v>
      </c>
      <c r="Q141" s="170">
        <f t="shared" si="14"/>
        <v>138659.4675310311</v>
      </c>
      <c r="R141" s="161">
        <f>+Q141*(1-Calculations!G87)</f>
        <v>4437.102960992999</v>
      </c>
      <c r="S141" s="115">
        <f>+IF(P141&lt;='Input - Existing Situation'!$G$3,+'Input - Existing Situation'!$AC$177*365-'Input - Existing Situation'!$AC$163-'Input - Existing Situation'!$AC$143,+Q141*(1-Calculations!F87)*Calculations!F87)</f>
        <v>31947.14131914957</v>
      </c>
      <c r="T141" s="138">
        <f>IF(S141&lt;='Input - Existing Situation'!$G$3,+'Input - Existing Situation'!$AC$166,+'Input - Projection Parameters'!$X$165)</f>
        <v>0</v>
      </c>
      <c r="U141" s="161">
        <f t="shared" si="15"/>
        <v>166169.50588918768</v>
      </c>
      <c r="V141" s="115">
        <f>+U141*'Input - Projection Parameters'!$E$196</f>
        <v>182786.45647810647</v>
      </c>
      <c r="W141" s="116">
        <f>+U141*'Input - Projection Parameters'!$E$197</f>
        <v>332339.01177837537</v>
      </c>
      <c r="Y141" s="107">
        <f t="shared" si="16"/>
        <v>2024</v>
      </c>
      <c r="Z141" s="149">
        <f>+Calculations!I87*Calculations!D136/1000</f>
        <v>35467.39098953847</v>
      </c>
      <c r="AA141" s="149">
        <f>+SUM(E141:F141)*1000*Calculations!J87/1000000</f>
        <v>2.8104933070607507</v>
      </c>
      <c r="AB141" s="5"/>
      <c r="AC141" s="5"/>
      <c r="AD141" s="149">
        <f t="shared" si="17"/>
        <v>35470.20148284553</v>
      </c>
      <c r="AE141" s="5"/>
      <c r="AF141" s="173">
        <f t="shared" si="18"/>
        <v>213.4579464086467</v>
      </c>
    </row>
    <row r="142" spans="3:32" ht="12.75">
      <c r="C142" s="107">
        <f t="shared" si="8"/>
        <v>2025</v>
      </c>
      <c r="D142" s="138">
        <f>IF(C142&lt;='Input - Existing Situation'!$G$3,+'Input - Existing Situation'!AD138,+D35*Calculations!D137/Calculations!C137*'Input - Projection Parameters'!$E$148)</f>
        <v>37.877175485551874</v>
      </c>
      <c r="E142" s="138">
        <f>IF(C142&lt;='Input - Existing Situation'!$G$3,+'Input - Existing Situation'!$AD$140+'Input - Existing Situation'!$AD$141,+E35*'Input - Projection Parameters'!$E$150)</f>
        <v>12.109569530009193</v>
      </c>
      <c r="F142" s="138">
        <f>IF(C142&lt;='Input - Existing Situation'!$G$3,+'Input - Existing Situation'!$AD$142,+F35*'Input - Projection Parameters'!$E$149)</f>
        <v>1.990940099025243</v>
      </c>
      <c r="G142" s="147">
        <f t="shared" si="9"/>
        <v>51.977685114586315</v>
      </c>
      <c r="H142" s="138">
        <f>IF(G142&lt;='Input - Existing Situation'!$G$3,+'Input - Existing Situation'!$AD$160,+'Input - Projection Parameters'!$Y$160)</f>
        <v>0</v>
      </c>
      <c r="I142" s="138">
        <f>IF(H142&lt;='Input - Existing Situation'!$G$3,+'Input - Existing Situation'!$AD$162,+'Input - Projection Parameters'!$Y$162)</f>
        <v>0</v>
      </c>
      <c r="J142" s="138">
        <f>IF(I142&lt;='Input - Existing Situation'!$G$3,+'Input - Existing Situation'!$AD$161,+'Input - Projection Parameters'!$Y$161)</f>
        <v>0</v>
      </c>
      <c r="K142" s="147">
        <f t="shared" si="10"/>
        <v>0</v>
      </c>
      <c r="L142" s="147">
        <f t="shared" si="11"/>
        <v>51.977685114586315</v>
      </c>
      <c r="M142" s="116">
        <f t="shared" si="12"/>
        <v>142404.61675229127</v>
      </c>
      <c r="P142" s="107">
        <f t="shared" si="13"/>
        <v>2025</v>
      </c>
      <c r="Q142" s="170">
        <f t="shared" si="14"/>
        <v>142404.61675229127</v>
      </c>
      <c r="R142" s="161">
        <f>+Q142*(1-Calculations!G88)</f>
        <v>4272.138502568742</v>
      </c>
      <c r="S142" s="115">
        <f>+IF(P142&lt;='Input - Existing Situation'!$G$3,+'Input - Existing Situation'!$AD$177*365-'Input - Existing Situation'!$AD$163-'Input - Existing Situation'!$AD$143,+Q142*(1-Calculations!F88)*Calculations!F88)</f>
        <v>32397.050311146264</v>
      </c>
      <c r="T142" s="138">
        <f>IF(S142&lt;='Input - Existing Situation'!$G$3,+'Input - Existing Situation'!$AD$166,+'Input - Projection Parameters'!$Y$165)</f>
        <v>0</v>
      </c>
      <c r="U142" s="161">
        <f t="shared" si="15"/>
        <v>170529.5285608688</v>
      </c>
      <c r="V142" s="115">
        <f>+U142*'Input - Projection Parameters'!$E$196</f>
        <v>187582.4814169557</v>
      </c>
      <c r="W142" s="116">
        <f>+U142*'Input - Projection Parameters'!$E$197</f>
        <v>341059.0571217376</v>
      </c>
      <c r="Y142" s="107">
        <f t="shared" si="16"/>
        <v>2025</v>
      </c>
      <c r="Z142" s="149">
        <f>+Calculations!I88*Calculations!D137/1000</f>
        <v>36364.20272192225</v>
      </c>
      <c r="AA142" s="149">
        <f>+SUM(E142:F142)*1000*Calculations!J88/1000000</f>
        <v>2.820101925806887</v>
      </c>
      <c r="AB142" s="5"/>
      <c r="AC142" s="5"/>
      <c r="AD142" s="149">
        <f t="shared" si="17"/>
        <v>36367.022823848056</v>
      </c>
      <c r="AE142" s="5"/>
      <c r="AF142" s="173">
        <f t="shared" si="18"/>
        <v>213.25938757208965</v>
      </c>
    </row>
    <row r="143" spans="3:32" ht="12.75">
      <c r="C143" s="107">
        <f t="shared" si="8"/>
        <v>2026</v>
      </c>
      <c r="D143" s="138">
        <f>IF(C143&lt;='Input - Existing Situation'!$G$3,+'Input - Existing Situation'!AE138,+D36*Calculations!D138/Calculations!C138*'Input - Projection Parameters'!$E$148)</f>
        <v>39.325997459069846</v>
      </c>
      <c r="E143" s="138">
        <f>IF(C143&lt;='Input - Existing Situation'!$G$3,+'Input - Existing Situation'!$AE$140+'Input - Existing Situation'!$AE$141,+E36*'Input - Projection Parameters'!$E$150)</f>
        <v>12.170420116897489</v>
      </c>
      <c r="F143" s="138">
        <f>IF(C143&lt;='Input - Existing Situation'!$G$3,+'Input - Existing Situation'!$AE$142,+F36*'Input - Projection Parameters'!$E$149)</f>
        <v>1.9740512652418596</v>
      </c>
      <c r="G143" s="147">
        <f t="shared" si="9"/>
        <v>53.4704688412092</v>
      </c>
      <c r="H143" s="138">
        <f>IF(G143&lt;='Input - Existing Situation'!$G$3,+'Input - Existing Situation'!$AE$160,+'Input - Projection Parameters'!$Z$160)</f>
        <v>0</v>
      </c>
      <c r="I143" s="138">
        <f>IF(H143&lt;='Input - Existing Situation'!$G$3,+'Input - Existing Situation'!$AE$162,+'Input - Projection Parameters'!$Z$162)</f>
        <v>0</v>
      </c>
      <c r="J143" s="138">
        <f>IF(I143&lt;='Input - Existing Situation'!$G$3,+'Input - Existing Situation'!$AE$161,+'Input - Projection Parameters'!$Z$161)</f>
        <v>0</v>
      </c>
      <c r="K143" s="147">
        <f t="shared" si="10"/>
        <v>0</v>
      </c>
      <c r="L143" s="147">
        <f t="shared" si="11"/>
        <v>53.4704688412092</v>
      </c>
      <c r="M143" s="116">
        <f t="shared" si="12"/>
        <v>146494.43518139506</v>
      </c>
      <c r="P143" s="107">
        <f t="shared" si="13"/>
        <v>2026</v>
      </c>
      <c r="Q143" s="170">
        <f t="shared" si="14"/>
        <v>146494.43518139506</v>
      </c>
      <c r="R143" s="161">
        <f>+Q143*(1-Calculations!G89)</f>
        <v>4101.844185079065</v>
      </c>
      <c r="S143" s="115">
        <f>+IF(P143&lt;='Input - Existing Situation'!$G$3,+'Input - Existing Situation'!$AE$177*365-'Input - Existing Situation'!$AE$163-'Input - Existing Situation'!$AE$143,+Q143*(1-Calculations!F89)*Calculations!F89)</f>
        <v>32873.35125470505</v>
      </c>
      <c r="T143" s="138">
        <f>IF(S143&lt;='Input - Existing Situation'!$G$3,+'Input - Existing Situation'!$AE$166,+'Input - Projection Parameters'!$Z$165)</f>
        <v>0</v>
      </c>
      <c r="U143" s="161">
        <f t="shared" si="15"/>
        <v>175265.94225102104</v>
      </c>
      <c r="V143" s="115">
        <f>+U143*'Input - Projection Parameters'!$E$196</f>
        <v>192792.53647612318</v>
      </c>
      <c r="W143" s="116">
        <f>+U143*'Input - Projection Parameters'!$E$197</f>
        <v>350531.8845020421</v>
      </c>
      <c r="Y143" s="107">
        <f t="shared" si="16"/>
        <v>2026</v>
      </c>
      <c r="Z143" s="149">
        <f>+Calculations!I89*Calculations!D138/1000</f>
        <v>37361.55000220862</v>
      </c>
      <c r="AA143" s="149">
        <f>+SUM(E143:F143)*1000*Calculations!J89/1000000</f>
        <v>2.8288942764278695</v>
      </c>
      <c r="AB143" s="5"/>
      <c r="AC143" s="5"/>
      <c r="AD143" s="149">
        <f t="shared" si="17"/>
        <v>37364.37889648505</v>
      </c>
      <c r="AE143" s="5"/>
      <c r="AF143" s="173">
        <f t="shared" si="18"/>
        <v>213.18676302193774</v>
      </c>
    </row>
    <row r="144" spans="3:32" ht="12.75">
      <c r="C144" s="107">
        <f t="shared" si="8"/>
        <v>2027</v>
      </c>
      <c r="D144" s="138">
        <f>IF(C144&lt;='Input - Existing Situation'!$G$3,+'Input - Existing Situation'!AF138,+D37*Calculations!D139/Calculations!C139*'Input - Projection Parameters'!$E$148)</f>
        <v>40.80150380002505</v>
      </c>
      <c r="E144" s="138">
        <f>IF(C144&lt;='Input - Existing Situation'!$G$3,+'Input - Existing Situation'!$AF$140+'Input - Existing Situation'!$AF$141,+E37*'Input - Projection Parameters'!$E$150)</f>
        <v>12.231576477984898</v>
      </c>
      <c r="F144" s="138">
        <f>IF(C144&lt;='Input - Existing Situation'!$G$3,+'Input - Existing Situation'!$AF$142,+F37*'Input - Projection Parameters'!$E$149)</f>
        <v>1.9571624314584761</v>
      </c>
      <c r="G144" s="147">
        <f t="shared" si="9"/>
        <v>54.990242709468426</v>
      </c>
      <c r="H144" s="138">
        <f>IF(G144&lt;='Input - Existing Situation'!$G$3,+'Input - Existing Situation'!$AF$160,+'Input - Projection Parameters'!$AA$160)</f>
        <v>0</v>
      </c>
      <c r="I144" s="138">
        <f>IF(H144&lt;='Input - Existing Situation'!$G$3,+'Input - Existing Situation'!$AF$162,+'Input - Projection Parameters'!$AA$162)</f>
        <v>0</v>
      </c>
      <c r="J144" s="138">
        <f>IF(I144&lt;='Input - Existing Situation'!$G$3,+'Input - Existing Situation'!$AF$161,+'Input - Projection Parameters'!$AA$161)</f>
        <v>0</v>
      </c>
      <c r="K144" s="147">
        <f t="shared" si="10"/>
        <v>0</v>
      </c>
      <c r="L144" s="147">
        <f t="shared" si="11"/>
        <v>54.990242709468426</v>
      </c>
      <c r="M144" s="116">
        <f t="shared" si="12"/>
        <v>150658.19920402308</v>
      </c>
      <c r="P144" s="107">
        <f t="shared" si="13"/>
        <v>2027</v>
      </c>
      <c r="Q144" s="170">
        <f t="shared" si="14"/>
        <v>150658.19920402308</v>
      </c>
      <c r="R144" s="161">
        <f>+Q144*(1-Calculations!G90)</f>
        <v>3917.113179304604</v>
      </c>
      <c r="S144" s="115">
        <f>+IF(P144&lt;='Input - Existing Situation'!$G$3,+'Input - Existing Situation'!$AF$177*365-'Input - Existing Situation'!$AF$163-'Input - Existing Situation'!$AF$143,+Q144*(1-Calculations!F90)*Calculations!F90)</f>
        <v>33310.5278440095</v>
      </c>
      <c r="T144" s="138">
        <f>IF(S144&lt;='Input - Existing Situation'!$G$3,+'Input - Existing Situation'!$AF$166,+'Input - Projection Parameters'!$AA$165)</f>
        <v>0</v>
      </c>
      <c r="U144" s="161">
        <f t="shared" si="15"/>
        <v>180051.613868728</v>
      </c>
      <c r="V144" s="115">
        <f>+U144*'Input - Projection Parameters'!$E$196</f>
        <v>198056.7752556008</v>
      </c>
      <c r="W144" s="116">
        <f>+U144*'Input - Projection Parameters'!$E$197</f>
        <v>360103.227737456</v>
      </c>
      <c r="Y144" s="107">
        <f t="shared" si="16"/>
        <v>2027</v>
      </c>
      <c r="Z144" s="149">
        <f>+Calculations!I90*Calculations!D139/1000</f>
        <v>38358.89728249498</v>
      </c>
      <c r="AA144" s="149">
        <f>+SUM(E144:F144)*1000*Calculations!J90/1000000</f>
        <v>2.837747781888675</v>
      </c>
      <c r="AB144" s="5"/>
      <c r="AC144" s="5"/>
      <c r="AD144" s="149">
        <f t="shared" si="17"/>
        <v>38361.73503027687</v>
      </c>
      <c r="AE144" s="5"/>
      <c r="AF144" s="173">
        <f t="shared" si="18"/>
        <v>213.05965665070707</v>
      </c>
    </row>
    <row r="145" spans="3:32" ht="12.75">
      <c r="C145" s="107">
        <f t="shared" si="8"/>
        <v>2028</v>
      </c>
      <c r="D145" s="138">
        <f>IF(C145&lt;='Input - Existing Situation'!$G$3,+'Input - Existing Situation'!AG138,+D38*Calculations!D140/Calculations!C140*'Input - Projection Parameters'!$E$148)</f>
        <v>42.3041275509113</v>
      </c>
      <c r="E145" s="138">
        <f>IF(C145&lt;='Input - Existing Situation'!$G$3,+'Input - Existing Situation'!$AG$140+'Input - Existing Situation'!$AG$141,+E38*'Input - Projection Parameters'!$E$150)</f>
        <v>12.293040149786775</v>
      </c>
      <c r="F145" s="138">
        <f>IF(C145&lt;='Input - Existing Situation'!$G$3,+'Input - Existing Situation'!$AG$142,+F38*'Input - Projection Parameters'!$E$149)</f>
        <v>1.9402735976750927</v>
      </c>
      <c r="G145" s="147">
        <f t="shared" si="9"/>
        <v>56.537441298373174</v>
      </c>
      <c r="H145" s="138">
        <f>IF(G145&lt;='Input - Existing Situation'!$G$3,+'Input - Existing Situation'!$AG$160,+'Input - Projection Parameters'!$AB$160)</f>
        <v>0</v>
      </c>
      <c r="I145" s="138">
        <f>IF(H145&lt;='Input - Existing Situation'!$G$3,+'Input - Existing Situation'!$AG$162,+'Input - Projection Parameters'!$AB$162)</f>
        <v>0</v>
      </c>
      <c r="J145" s="138">
        <f>IF(I145&lt;='Input - Existing Situation'!$G$3,+'Input - Existing Situation'!$AG$161,+'Input - Projection Parameters'!$AB$161)</f>
        <v>0</v>
      </c>
      <c r="K145" s="147">
        <f t="shared" si="10"/>
        <v>0</v>
      </c>
      <c r="L145" s="147">
        <f t="shared" si="11"/>
        <v>56.537441298373174</v>
      </c>
      <c r="M145" s="116">
        <f t="shared" si="12"/>
        <v>154897.09944759775</v>
      </c>
      <c r="P145" s="107">
        <f t="shared" si="13"/>
        <v>2028</v>
      </c>
      <c r="Q145" s="170">
        <f t="shared" si="14"/>
        <v>154897.09944759775</v>
      </c>
      <c r="R145" s="161">
        <f>+Q145*(1-Calculations!G91)</f>
        <v>3717.5303867423495</v>
      </c>
      <c r="S145" s="115">
        <f>+IF(P145&lt;='Input - Existing Situation'!$G$3,+'Input - Existing Situation'!$AG$177*365-'Input - Existing Situation'!$AG$163-'Input - Existing Situation'!$AG$143,+Q145*(1-Calculations!F91)*Calculations!F91)</f>
        <v>33705.60883979726</v>
      </c>
      <c r="T145" s="138">
        <f>IF(S145&lt;='Input - Existing Situation'!$G$3,+'Input - Existing Situation'!$AG$166,+'Input - Projection Parameters'!$AB$165)</f>
        <v>0</v>
      </c>
      <c r="U145" s="161">
        <f t="shared" si="15"/>
        <v>184885.17790065266</v>
      </c>
      <c r="V145" s="115">
        <f>+U145*'Input - Projection Parameters'!$E$196</f>
        <v>203373.69569071796</v>
      </c>
      <c r="W145" s="116">
        <f>+U145*'Input - Projection Parameters'!$E$197</f>
        <v>369770.3558013053</v>
      </c>
      <c r="Y145" s="107">
        <f t="shared" si="16"/>
        <v>2028</v>
      </c>
      <c r="Z145" s="149">
        <f>+Calculations!I91*Calculations!D140/1000</f>
        <v>39356.24456278136</v>
      </c>
      <c r="AA145" s="149">
        <f>+SUM(E145:F145)*1000*Calculations!J91/1000000</f>
        <v>2.8466627494923733</v>
      </c>
      <c r="AB145" s="5"/>
      <c r="AC145" s="5"/>
      <c r="AD145" s="149">
        <f t="shared" si="17"/>
        <v>39359.09122553085</v>
      </c>
      <c r="AE145" s="5"/>
      <c r="AF145" s="173">
        <f t="shared" si="18"/>
        <v>212.8839730282776</v>
      </c>
    </row>
    <row r="146" spans="3:32" ht="12.75">
      <c r="C146" s="107">
        <f t="shared" si="8"/>
        <v>2029</v>
      </c>
      <c r="D146" s="138">
        <f>IF(C146&lt;='Input - Existing Situation'!$G$3,+'Input - Existing Situation'!AH138,+D39*Calculations!D141/Calculations!C141*'Input - Projection Parameters'!$E$148)</f>
        <v>43.83430847474607</v>
      </c>
      <c r="E146" s="138">
        <f>IF(C146&lt;='Input - Existing Situation'!$G$3,+'Input - Existing Situation'!$AH$140+'Input - Existing Situation'!$AH$141,+E39*'Input - Projection Parameters'!$E$150)</f>
        <v>12.354812676539453</v>
      </c>
      <c r="F146" s="138">
        <f>IF(C146&lt;='Input - Existing Situation'!$G$3,+'Input - Existing Situation'!$AH$142,+F39*'Input - Projection Parameters'!$E$149)</f>
        <v>1.9233847638917092</v>
      </c>
      <c r="G146" s="147">
        <f t="shared" si="9"/>
        <v>58.11250591517723</v>
      </c>
      <c r="H146" s="138">
        <f>IF(G146&lt;='Input - Existing Situation'!$G$3,+'Input - Existing Situation'!$AH$160,+'Input - Projection Parameters'!$AC$160)</f>
        <v>0</v>
      </c>
      <c r="I146" s="138">
        <f>IF(H146&lt;='Input - Existing Situation'!$G$3,+'Input - Existing Situation'!$AH$162,+'Input - Projection Parameters'!$AC$162)</f>
        <v>0</v>
      </c>
      <c r="J146" s="138">
        <f>IF(I146&lt;='Input - Existing Situation'!$G$3,+'Input - Existing Situation'!$AH$161,+'Input - Projection Parameters'!$AC$161)</f>
        <v>0</v>
      </c>
      <c r="K146" s="147">
        <f t="shared" si="10"/>
        <v>0</v>
      </c>
      <c r="L146" s="147">
        <f t="shared" si="11"/>
        <v>58.11250591517723</v>
      </c>
      <c r="M146" s="116">
        <f t="shared" si="12"/>
        <v>159212.3449730883</v>
      </c>
      <c r="P146" s="107">
        <f t="shared" si="13"/>
        <v>2029</v>
      </c>
      <c r="Q146" s="170">
        <f t="shared" si="14"/>
        <v>159212.3449730883</v>
      </c>
      <c r="R146" s="161">
        <f>+Q146*(1-Calculations!G92)</f>
        <v>3502.6715894079457</v>
      </c>
      <c r="S146" s="115">
        <f>+IF(P146&lt;='Input - Existing Situation'!$G$3,+'Input - Existing Situation'!$AH$177*365-'Input - Existing Situation'!$AH$163-'Input - Existing Situation'!$AH$143,+Q146*(1-Calculations!F92)*Calculations!F92)</f>
        <v>34055.52058974359</v>
      </c>
      <c r="T146" s="138">
        <f>IF(S146&lt;='Input - Existing Situation'!$G$3,+'Input - Existing Situation'!$AH$166,+'Input - Projection Parameters'!$AC$165)</f>
        <v>0</v>
      </c>
      <c r="U146" s="161">
        <f t="shared" si="15"/>
        <v>189765.19397342394</v>
      </c>
      <c r="V146" s="115">
        <f>+U146*'Input - Projection Parameters'!$E$196</f>
        <v>208741.71337076635</v>
      </c>
      <c r="W146" s="116">
        <f>+U146*'Input - Projection Parameters'!$E$197</f>
        <v>379530.3879468479</v>
      </c>
      <c r="Y146" s="107">
        <f t="shared" si="16"/>
        <v>2029</v>
      </c>
      <c r="Z146" s="149">
        <f>+Calculations!I92*Calculations!D141/1000</f>
        <v>40353.59184306772</v>
      </c>
      <c r="AA146" s="149">
        <f>+SUM(E146:F146)*1000*Calculations!J92/1000000</f>
        <v>2.8556394880862324</v>
      </c>
      <c r="AB146" s="5"/>
      <c r="AC146" s="5"/>
      <c r="AD146" s="149">
        <f t="shared" si="17"/>
        <v>40356.447482555806</v>
      </c>
      <c r="AE146" s="5"/>
      <c r="AF146" s="173">
        <f t="shared" si="18"/>
        <v>212.66517129694296</v>
      </c>
    </row>
    <row r="147" spans="3:32" ht="12.75">
      <c r="C147" s="107">
        <f t="shared" si="8"/>
        <v>2030</v>
      </c>
      <c r="D147" s="138">
        <f>IF(C147&lt;='Input - Existing Situation'!$G$3,+'Input - Existing Situation'!AI138,+D40*Calculations!D142/Calculations!C142*'Input - Projection Parameters'!$E$148)</f>
        <v>45.392493156730836</v>
      </c>
      <c r="E147" s="138">
        <f>IF(C147&lt;='Input - Existing Situation'!$G$3,+'Input - Existing Situation'!$AI$140+'Input - Existing Situation'!$AI$141,+E40*'Input - Projection Parameters'!$E$150)</f>
        <v>12.416895610239065</v>
      </c>
      <c r="F147" s="138">
        <f>IF(C147&lt;='Input - Existing Situation'!$G$3,+'Input - Existing Situation'!$AI$142,+F40*'Input - Projection Parameters'!$E$149)</f>
        <v>1.9064959301083257</v>
      </c>
      <c r="G147" s="147">
        <f t="shared" si="9"/>
        <v>59.71588469707823</v>
      </c>
      <c r="H147" s="138">
        <f>IF(G147&lt;='Input - Existing Situation'!$G$3,+'Input - Existing Situation'!$AI$160,+'Input - Projection Parameters'!$AD$160)</f>
        <v>0</v>
      </c>
      <c r="I147" s="138">
        <f>IF(H147&lt;='Input - Existing Situation'!$G$3,+'Input - Existing Situation'!$AI$162,+'Input - Projection Parameters'!$AD$162)</f>
        <v>0</v>
      </c>
      <c r="J147" s="138">
        <f>IF(I147&lt;='Input - Existing Situation'!$G$3,+'Input - Existing Situation'!$AI$161,+'Input - Projection Parameters'!$AD$161)</f>
        <v>0</v>
      </c>
      <c r="K147" s="147">
        <f t="shared" si="10"/>
        <v>0</v>
      </c>
      <c r="L147" s="147">
        <f t="shared" si="11"/>
        <v>59.71588469707823</v>
      </c>
      <c r="M147" s="116">
        <f t="shared" si="12"/>
        <v>163605.163553639</v>
      </c>
      <c r="P147" s="107">
        <f t="shared" si="13"/>
        <v>2030</v>
      </c>
      <c r="Q147" s="170">
        <f t="shared" si="14"/>
        <v>163605.163553639</v>
      </c>
      <c r="R147" s="161">
        <f>+Q147*(1-Calculations!G93)</f>
        <v>3272.1032710727827</v>
      </c>
      <c r="S147" s="115">
        <f>+IF(P147&lt;='Input - Existing Situation'!$G$3,+'Input - Existing Situation'!$AI$177*365-'Input - Existing Situation'!$AI$163-'Input - Existing Situation'!$AI$143,+Q147*(1-Calculations!F93)*Calculations!F93)</f>
        <v>34357.084346264186</v>
      </c>
      <c r="T147" s="138">
        <f>IF(S147&lt;='Input - Existing Situation'!$G$3,+'Input - Existing Situation'!$AI$166,+'Input - Projection Parameters'!$AD$165)</f>
        <v>0</v>
      </c>
      <c r="U147" s="161">
        <f t="shared" si="15"/>
        <v>194690.1446288304</v>
      </c>
      <c r="V147" s="115">
        <f>+U147*'Input - Projection Parameters'!$E$196</f>
        <v>214159.15909171346</v>
      </c>
      <c r="W147" s="116">
        <f>+U147*'Input - Projection Parameters'!$E$197</f>
        <v>389380.2892576608</v>
      </c>
      <c r="Y147" s="107">
        <f t="shared" si="16"/>
        <v>2030</v>
      </c>
      <c r="Z147" s="149">
        <f>+Calculations!I93*Calculations!D142/1000</f>
        <v>41350.939123354095</v>
      </c>
      <c r="AA147" s="149">
        <f>+SUM(E147:F147)*1000*Calculations!J93/1000000</f>
        <v>2.8646783080694784</v>
      </c>
      <c r="AB147" s="5"/>
      <c r="AC147" s="5"/>
      <c r="AD147" s="149">
        <f t="shared" si="17"/>
        <v>41353.803801662165</v>
      </c>
      <c r="AE147" s="5"/>
      <c r="AF147" s="173">
        <f t="shared" si="18"/>
        <v>212.4083059288988</v>
      </c>
    </row>
    <row r="148" spans="3:32" ht="12.75">
      <c r="C148" s="107">
        <f t="shared" si="8"/>
        <v>2031</v>
      </c>
      <c r="D148" s="138">
        <f>IF(C148&lt;='Input - Existing Situation'!$G$3,+'Input - Existing Situation'!AJ138,+D41*Calculations!D143/Calculations!C143*'Input - Projection Parameters'!$E$148)</f>
        <v>46.685809796327355</v>
      </c>
      <c r="E148" s="138">
        <f>IF(C148&lt;='Input - Existing Situation'!$G$3,+'Input - Existing Situation'!$AJ$140+'Input - Existing Situation'!$AJ$141,+E41*'Input - Projection Parameters'!$E$150)</f>
        <v>12.479290510680515</v>
      </c>
      <c r="F148" s="138">
        <f>IF(C148&lt;='Input - Existing Situation'!$G$3,+'Input - Existing Situation'!$AJ$142,+F41*'Input - Projection Parameters'!$E$149)</f>
        <v>1.884618318657524</v>
      </c>
      <c r="G148" s="147">
        <f t="shared" si="9"/>
        <v>61.04971862566539</v>
      </c>
      <c r="H148" s="138">
        <f>IF(G148&lt;='Input - Existing Situation'!$G$3,+'Input - Existing Situation'!$AJ$160,+'Input - Projection Parameters'!$AE$160)</f>
        <v>0</v>
      </c>
      <c r="I148" s="138">
        <f>IF(H148&lt;='Input - Existing Situation'!$G$3,+'Input - Existing Situation'!$AJ$162,+'Input - Projection Parameters'!$AE$162)</f>
        <v>0</v>
      </c>
      <c r="J148" s="138">
        <f>IF(I148&lt;='Input - Existing Situation'!$G$3,+'Input - Existing Situation'!$AJ$161,+'Input - Projection Parameters'!$AE$161)</f>
        <v>0</v>
      </c>
      <c r="K148" s="147">
        <f t="shared" si="10"/>
        <v>0</v>
      </c>
      <c r="L148" s="147">
        <f t="shared" si="11"/>
        <v>61.04971862566539</v>
      </c>
      <c r="M148" s="116">
        <f t="shared" si="12"/>
        <v>167259.50308401478</v>
      </c>
      <c r="P148" s="107">
        <f t="shared" si="13"/>
        <v>2031</v>
      </c>
      <c r="Q148" s="170">
        <f t="shared" si="14"/>
        <v>167259.50308401478</v>
      </c>
      <c r="R148" s="161">
        <f>+Q148*(1-Calculations!G94)</f>
        <v>3345.1900616802986</v>
      </c>
      <c r="S148" s="115">
        <f>+IF(P148&lt;='Input - Existing Situation'!$G$3,+'Input - Existing Situation'!$AJ$177*365-'Input - Existing Situation'!$AJ$163-'Input - Existing Situation'!$AJ$143,+Q148*(1-Calculations!F94)*Calculations!F94)</f>
        <v>34438.73168499864</v>
      </c>
      <c r="T148" s="138">
        <f>IF(S148&lt;='Input - Existing Situation'!$G$3,+'Input - Existing Situation'!$AJ$166,+'Input - Projection Parameters'!$AE$165)</f>
        <v>0</v>
      </c>
      <c r="U148" s="161">
        <f t="shared" si="15"/>
        <v>198353.04470733312</v>
      </c>
      <c r="V148" s="115">
        <f>+U148*'Input - Projection Parameters'!$E$196</f>
        <v>218188.34917806645</v>
      </c>
      <c r="W148" s="116">
        <f>+U148*'Input - Projection Parameters'!$E$197</f>
        <v>396706.08941466623</v>
      </c>
      <c r="Y148" s="107">
        <f t="shared" si="16"/>
        <v>2031</v>
      </c>
      <c r="Z148" s="149">
        <f>+Calculations!I94*Calculations!D143/1000</f>
        <v>42083.87488871664</v>
      </c>
      <c r="AA148" s="149">
        <f>+SUM(E148:F148)*1000*Calculations!J94/1000000</f>
        <v>2.8727817658676083</v>
      </c>
      <c r="AB148" s="5"/>
      <c r="AC148" s="5"/>
      <c r="AD148" s="149">
        <f t="shared" si="17"/>
        <v>42086.7476704825</v>
      </c>
      <c r="AE148" s="5"/>
      <c r="AF148" s="173">
        <f t="shared" si="18"/>
        <v>212.18100146927847</v>
      </c>
    </row>
    <row r="149" spans="3:32" ht="12.75">
      <c r="C149" s="107">
        <f t="shared" si="8"/>
        <v>2032</v>
      </c>
      <c r="D149" s="138">
        <f>IF(C149&lt;='Input - Existing Situation'!$G$3,+'Input - Existing Situation'!AK138,+D42*Calculations!D144/Calculations!C144*'Input - Projection Parameters'!$E$148)</f>
        <v>48.00183252834642</v>
      </c>
      <c r="E149" s="138">
        <f>IF(C149&lt;='Input - Existing Situation'!$G$3,+'Input - Existing Situation'!$AK$140+'Input - Existing Situation'!$AK$141,+E42*'Input - Projection Parameters'!$E$150)</f>
        <v>12.541998945496687</v>
      </c>
      <c r="F149" s="138">
        <f>IF(C149&lt;='Input - Existing Situation'!$G$3,+'Input - Existing Situation'!$AK$142,+F42*'Input - Projection Parameters'!$E$149)</f>
        <v>1.8627407072067221</v>
      </c>
      <c r="G149" s="147">
        <f t="shared" si="9"/>
        <v>62.406572181049825</v>
      </c>
      <c r="H149" s="138">
        <f>IF(G149&lt;='Input - Existing Situation'!$G$3,+'Input - Existing Situation'!$AK$160,+'Input - Projection Parameters'!$AF$160)</f>
        <v>0</v>
      </c>
      <c r="I149" s="138">
        <f>IF(H149&lt;='Input - Existing Situation'!$G$3,+'Input - Existing Situation'!$AK$162,+'Input - Projection Parameters'!$AF$162)</f>
        <v>0</v>
      </c>
      <c r="J149" s="138">
        <f>IF(I149&lt;='Input - Existing Situation'!$G$3,+'Input - Existing Situation'!$AK$161,+'Input - Projection Parameters'!$AF$161)</f>
        <v>0</v>
      </c>
      <c r="K149" s="147">
        <f t="shared" si="10"/>
        <v>0</v>
      </c>
      <c r="L149" s="147">
        <f t="shared" si="11"/>
        <v>62.406572181049825</v>
      </c>
      <c r="M149" s="116">
        <f t="shared" si="12"/>
        <v>170976.91008506803</v>
      </c>
      <c r="P149" s="107">
        <f t="shared" si="13"/>
        <v>2032</v>
      </c>
      <c r="Q149" s="170">
        <f t="shared" si="14"/>
        <v>170976.91008506803</v>
      </c>
      <c r="R149" s="161">
        <f>+Q149*(1-Calculations!G95)</f>
        <v>3419.5382017013635</v>
      </c>
      <c r="S149" s="115">
        <f>+IF(P149&lt;='Input - Existing Situation'!$G$3,+'Input - Existing Situation'!$AK$177*365-'Input - Existing Situation'!$AK$163-'Input - Existing Situation'!$AK$143,+Q149*(1-Calculations!F95)*Calculations!F95)</f>
        <v>34468.94507314971</v>
      </c>
      <c r="T149" s="138">
        <f>IF(S149&lt;='Input - Existing Situation'!$G$3,+'Input - Existing Situation'!$AK$166,+'Input - Projection Parameters'!$AF$165)</f>
        <v>0</v>
      </c>
      <c r="U149" s="161">
        <f t="shared" si="15"/>
        <v>202026.31695651638</v>
      </c>
      <c r="V149" s="115">
        <f>+U149*'Input - Projection Parameters'!$E$196</f>
        <v>222228.94865216804</v>
      </c>
      <c r="W149" s="116">
        <f>+U149*'Input - Projection Parameters'!$E$197</f>
        <v>404052.63391303277</v>
      </c>
      <c r="Y149" s="107">
        <f t="shared" si="16"/>
        <v>2032</v>
      </c>
      <c r="Z149" s="149">
        <f>+Calculations!I95*Calculations!D144/1000</f>
        <v>42816.810654079185</v>
      </c>
      <c r="AA149" s="149">
        <f>+SUM(E149:F149)*1000*Calculations!J95/1000000</f>
        <v>2.8809479305406818</v>
      </c>
      <c r="AB149" s="5"/>
      <c r="AC149" s="5"/>
      <c r="AD149" s="149">
        <f t="shared" si="17"/>
        <v>42819.69160200973</v>
      </c>
      <c r="AE149" s="5"/>
      <c r="AF149" s="173">
        <f t="shared" si="18"/>
        <v>211.95105789720517</v>
      </c>
    </row>
    <row r="150" spans="3:32" ht="12.75">
      <c r="C150" s="107">
        <f t="shared" si="8"/>
        <v>2033</v>
      </c>
      <c r="D150" s="138">
        <f>IF(C150&lt;='Input - Existing Situation'!$G$3,+'Input - Existing Situation'!AL138,+D43*Calculations!D145/Calculations!C145*'Input - Projection Parameters'!$E$148)</f>
        <v>49.3409224995081</v>
      </c>
      <c r="E150" s="138">
        <f>IF(C150&lt;='Input - Existing Situation'!$G$3,+'Input - Existing Situation'!$AL$140+'Input - Existing Situation'!$AL$141,+E43*'Input - Projection Parameters'!$E$150)</f>
        <v>12.60502249019781</v>
      </c>
      <c r="F150" s="138">
        <f>IF(C151&lt;='Input - Existing Situation'!$G$3,+'Input - Existing Situation'!$AL$142,+F43*'Input - Projection Parameters'!$E$149)</f>
        <v>1.8408630957559204</v>
      </c>
      <c r="G150" s="147">
        <f t="shared" si="9"/>
        <v>63.786808085461836</v>
      </c>
      <c r="H150" s="138">
        <f>IF(G150&lt;='Input - Existing Situation'!$G$3,+'Input - Existing Situation'!$AL$160,+'Input - Projection Parameters'!$AG$160)</f>
        <v>0</v>
      </c>
      <c r="I150" s="138">
        <f>IF(H150&lt;='Input - Existing Situation'!$G$3,+'Input - Existing Situation'!$AL$162,+'Input - Projection Parameters'!$AG$162)</f>
        <v>0</v>
      </c>
      <c r="J150" s="138">
        <f>IF(I150&lt;='Input - Existing Situation'!$G$3,+'Input - Existing Situation'!$AL$161,+'Input - Projection Parameters'!$AG$161)</f>
        <v>0</v>
      </c>
      <c r="K150" s="147">
        <f t="shared" si="10"/>
        <v>0</v>
      </c>
      <c r="L150" s="147">
        <f t="shared" si="11"/>
        <v>63.786808085461836</v>
      </c>
      <c r="M150" s="116">
        <f t="shared" si="12"/>
        <v>174758.37831633378</v>
      </c>
      <c r="P150" s="107">
        <f t="shared" si="13"/>
        <v>2033</v>
      </c>
      <c r="Q150" s="170">
        <f t="shared" si="14"/>
        <v>174758.37831633378</v>
      </c>
      <c r="R150" s="161">
        <f>+Q150*(1-Calculations!G96)</f>
        <v>3495.1675663266788</v>
      </c>
      <c r="S150" s="115">
        <f>+IF(P150&lt;='Input - Existing Situation'!$G$3,+'Input - Existing Situation'!$AL$177*365-'Input - Existing Situation'!$AL$163-'Input - Existing Situation'!$AL$143,+Q150*(1-Calculations!F96)*Calculations!F96)</f>
        <v>34444.87636614939</v>
      </c>
      <c r="T150" s="138">
        <f>IF(S150&lt;='Input - Existing Situation'!$G$3,+'Input - Existing Situation'!$AL$166,+'Input - Projection Parameters'!$AG$165)</f>
        <v>0</v>
      </c>
      <c r="U150" s="161">
        <f t="shared" si="15"/>
        <v>205708.08711615647</v>
      </c>
      <c r="V150" s="115">
        <f>+U150*'Input - Projection Parameters'!$E$196</f>
        <v>226278.89582777212</v>
      </c>
      <c r="W150" s="116">
        <f>+U150*'Input - Projection Parameters'!$E$197</f>
        <v>411416.17423231294</v>
      </c>
      <c r="Y150" s="107">
        <f t="shared" si="16"/>
        <v>2033</v>
      </c>
      <c r="Z150" s="149">
        <f>+Calculations!I96*Calculations!D145/1000</f>
        <v>43549.74641944174</v>
      </c>
      <c r="AA150" s="149">
        <f>+SUM(E150:F150)*1000*Calculations!J96/1000000</f>
        <v>2.889177117190746</v>
      </c>
      <c r="AB150" s="5"/>
      <c r="AC150" s="5"/>
      <c r="AD150" s="149">
        <f t="shared" si="17"/>
        <v>43552.63559655893</v>
      </c>
      <c r="AE150" s="5"/>
      <c r="AF150" s="173">
        <f t="shared" si="18"/>
        <v>211.72058039685245</v>
      </c>
    </row>
    <row r="151" spans="3:32" ht="12.75">
      <c r="C151" s="107">
        <f t="shared" si="8"/>
        <v>2034</v>
      </c>
      <c r="D151" s="138">
        <f>IF(C151&lt;='Input - Existing Situation'!$G$3,+'Input - Existing Situation'!AM138,+D44*Calculations!D146/Calculations!C146*'Input - Projection Parameters'!$E$148)</f>
        <v>50.703446395597844</v>
      </c>
      <c r="E151" s="138">
        <f>IF(C152&lt;='Input - Existing Situation'!$G$3,+'Input - Existing Situation'!$AM$140+'Input - Existing Situation'!$AM$141,+E44*'Input - Projection Parameters'!$E$150)</f>
        <v>12.668362728211054</v>
      </c>
      <c r="F151" s="138">
        <f>IF(C151&lt;='Input - Existing Situation'!$G$3,+'Input - Existing Situation'!$AM$142,+F44*'Input - Projection Parameters'!$E$149)</f>
        <v>1.8189854843051185</v>
      </c>
      <c r="G151" s="147">
        <f t="shared" si="9"/>
        <v>65.19079460811402</v>
      </c>
      <c r="H151" s="138">
        <f>IF(G151&lt;='Input - Existing Situation'!$G$3,+'Input - Existing Situation'!$AM$160,+'Input - Projection Parameters'!$AH$160)</f>
        <v>0</v>
      </c>
      <c r="I151" s="138">
        <f>IF(H151&lt;='Input - Existing Situation'!$G$3,+'Input - Existing Situation'!$AM$162,+'Input - Projection Parameters'!$AH$162)</f>
        <v>0</v>
      </c>
      <c r="J151" s="138">
        <f>IF(I151&lt;='Input - Existing Situation'!$G$3,+'Input - Existing Situation'!$AM$161,+'Input - Projection Parameters'!$AH$161)</f>
        <v>0</v>
      </c>
      <c r="K151" s="147">
        <f t="shared" si="10"/>
        <v>0</v>
      </c>
      <c r="L151" s="147">
        <f t="shared" si="11"/>
        <v>65.19079460811402</v>
      </c>
      <c r="M151" s="116">
        <f t="shared" si="12"/>
        <v>178604.91673455894</v>
      </c>
      <c r="P151" s="107">
        <f t="shared" si="13"/>
        <v>2034</v>
      </c>
      <c r="Q151" s="170">
        <f t="shared" si="14"/>
        <v>178604.91673455894</v>
      </c>
      <c r="R151" s="161">
        <f>+Q151*(1-Calculations!G97)</f>
        <v>3572.098334691182</v>
      </c>
      <c r="S151" s="115">
        <f>+IF(P151&lt;='Input - Existing Situation'!$G$3,+'Input - Existing Situation'!$AM$177*365-'Input - Existing Situation'!$AM$163-'Input - Existing Situation'!$AM$143,+Q151*(1-Calculations!F97)*Calculations!F97)</f>
        <v>34363.585979729134</v>
      </c>
      <c r="T151" s="138">
        <f>IF(S151&lt;='Input - Existing Situation'!$G$3,+'Input - Existing Situation'!$AM$166,+'Input - Projection Parameters'!$AH$165)</f>
        <v>0</v>
      </c>
      <c r="U151" s="161">
        <f t="shared" si="15"/>
        <v>209396.40437959688</v>
      </c>
      <c r="V151" s="115">
        <f>+U151*'Input - Projection Parameters'!$E$196</f>
        <v>230336.04481755657</v>
      </c>
      <c r="W151" s="116">
        <f>+U151*'Input - Projection Parameters'!$E$197</f>
        <v>418792.80875919375</v>
      </c>
      <c r="Y151" s="107">
        <f t="shared" si="16"/>
        <v>2034</v>
      </c>
      <c r="Z151" s="149">
        <f>+Calculations!I97*Calculations!D146/1000</f>
        <v>44282.68218480428</v>
      </c>
      <c r="AA151" s="149">
        <f>+SUM(E151:F151)*1000*Calculations!J97/1000000</f>
        <v>2.8974696425032347</v>
      </c>
      <c r="AB151" s="5"/>
      <c r="AC151" s="5"/>
      <c r="AD151" s="149">
        <f t="shared" si="17"/>
        <v>44285.57965444679</v>
      </c>
      <c r="AE151" s="5"/>
      <c r="AF151" s="173">
        <f t="shared" si="18"/>
        <v>211.49159550115883</v>
      </c>
    </row>
    <row r="152" spans="3:32" ht="12.75">
      <c r="C152" s="107">
        <f t="shared" si="8"/>
        <v>2035</v>
      </c>
      <c r="D152" s="138">
        <f>IF(C152&lt;='Input - Existing Situation'!$G$3,+'Input - Existing Situation'!AN138,+D45*Calculations!D147/Calculations!C147*'Input - Projection Parameters'!$E$148)</f>
        <v>52.08977652457945</v>
      </c>
      <c r="E152" s="138">
        <f>IF(C152&lt;='Input - Existing Situation'!$G$3,+'Input - Existing Situation'!$AN$140+'Input - Existing Situation'!$AN$141,+E45*'Input - Projection Parameters'!$E$150)</f>
        <v>12.732021250920319</v>
      </c>
      <c r="F152" s="138">
        <f>IF(C151&lt;='Input - Existing Situation'!$G$3,+'Input - Existing Situation'!$AN$142,+F45*'Input - Projection Parameters'!$E$149)</f>
        <v>1.7971078728543168</v>
      </c>
      <c r="G152" s="147">
        <f t="shared" si="9"/>
        <v>66.61890564835407</v>
      </c>
      <c r="H152" s="138">
        <f>IF(G152&lt;='Input - Existing Situation'!$G$3,+'Input - Existing Situation'!$AN$160,+'Input - Projection Parameters'!$AI$160)</f>
        <v>0</v>
      </c>
      <c r="I152" s="138">
        <f>IF(H152&lt;='Input - Existing Situation'!$G$3,+'Input - Existing Situation'!$AN$162,+'Input - Projection Parameters'!$AI$162)</f>
        <v>0</v>
      </c>
      <c r="J152" s="138">
        <f>IF(I152&lt;='Input - Existing Situation'!$G$3,+'Input - Existing Situation'!$AN$161,+'Input - Projection Parameters'!$AI$161)</f>
        <v>0</v>
      </c>
      <c r="K152" s="147">
        <f t="shared" si="10"/>
        <v>0</v>
      </c>
      <c r="L152" s="147">
        <f t="shared" si="11"/>
        <v>66.61890564835407</v>
      </c>
      <c r="M152" s="116">
        <f t="shared" si="12"/>
        <v>182517.549721518</v>
      </c>
      <c r="P152" s="107">
        <f t="shared" si="13"/>
        <v>2035</v>
      </c>
      <c r="Q152" s="170">
        <f t="shared" si="14"/>
        <v>182517.549721518</v>
      </c>
      <c r="R152" s="161">
        <f>+Q152*(1-Calculations!G98)</f>
        <v>3650.3509944303632</v>
      </c>
      <c r="S152" s="115">
        <f>+IF(P152&lt;='Input - Existing Situation'!$G$3,+'Input - Existing Situation'!$AN$177*365-'Input - Existing Situation'!$AN$163-'Input - Existing Situation'!$AN$143,+Q152*(1-Calculations!F98)*Calculations!F98)</f>
        <v>34222.04057278462</v>
      </c>
      <c r="T152" s="138">
        <f>IF(S152&lt;='Input - Existing Situation'!$G$3,+'Input - Existing Situation'!$AN$166,+'Input - Projection Parameters'!$AI$165)</f>
        <v>0</v>
      </c>
      <c r="U152" s="161">
        <f t="shared" si="15"/>
        <v>213089.23929987225</v>
      </c>
      <c r="V152" s="115">
        <f>+U152*'Input - Projection Parameters'!$E$196</f>
        <v>234398.1632298595</v>
      </c>
      <c r="W152" s="116">
        <f>+U152*'Input - Projection Parameters'!$E$197</f>
        <v>426178.4785997445</v>
      </c>
      <c r="Y152" s="107">
        <f t="shared" si="16"/>
        <v>2035</v>
      </c>
      <c r="Z152" s="149">
        <f>+Calculations!I98*Calculations!D147/1000</f>
        <v>45015.61795016684</v>
      </c>
      <c r="AA152" s="149">
        <f>+SUM(E152:F152)*1000*Calculations!J98/1000000</f>
        <v>2.905825824754927</v>
      </c>
      <c r="AB152" s="5"/>
      <c r="AC152" s="5"/>
      <c r="AD152" s="149">
        <f t="shared" si="17"/>
        <v>45018.52377599159</v>
      </c>
      <c r="AE152" s="5"/>
      <c r="AF152" s="173">
        <f t="shared" si="18"/>
        <v>211.26605887704523</v>
      </c>
    </row>
    <row r="153" spans="3:32" ht="12.75">
      <c r="C153" s="107">
        <f t="shared" si="8"/>
        <v>2036</v>
      </c>
      <c r="D153" s="138">
        <f>IF(C153&lt;='Input - Existing Situation'!$G$3,+'Input - Existing Situation'!AO138,+D46*Calculations!D148/Calculations!C148*'Input - Projection Parameters'!$E$148)</f>
        <v>53.575009021760714</v>
      </c>
      <c r="E153" s="138">
        <f>IF(C153&lt;='Input - Existing Situation'!$G$3,+'Input - Existing Situation'!$AO$140+'Input - Existing Situation'!$AO$141,+E46*'Input - Projection Parameters'!$E$150)</f>
        <v>12.795999657706194</v>
      </c>
      <c r="F153" s="138">
        <f>IF(C153&lt;='Input - Existing Situation'!$G$3,+'Input - Existing Situation'!$AO$142,+F46*'Input - Projection Parameters'!$E$149)</f>
        <v>1.7695712522287042</v>
      </c>
      <c r="G153" s="147">
        <f t="shared" si="9"/>
        <v>68.14057993169561</v>
      </c>
      <c r="H153" s="138">
        <f>IF(G153&lt;='Input - Existing Situation'!$G$3,+'Input - Existing Situation'!$AO$160,+'Input - Projection Parameters'!$AJ$160)</f>
        <v>0</v>
      </c>
      <c r="I153" s="138">
        <f>IF(H153&lt;='Input - Existing Situation'!$G$3,+'Input - Existing Situation'!$AO$162,+'Input - Projection Parameters'!$AJ$162)</f>
        <v>0</v>
      </c>
      <c r="J153" s="138">
        <f>IF(I153&lt;='Input - Existing Situation'!$G$3,+'Input - Existing Situation'!$AO$161,+'Input - Projection Parameters'!$AJ$161)</f>
        <v>0</v>
      </c>
      <c r="K153" s="147">
        <f t="shared" si="10"/>
        <v>0</v>
      </c>
      <c r="L153" s="147">
        <f t="shared" si="11"/>
        <v>68.14057993169561</v>
      </c>
      <c r="M153" s="116">
        <f t="shared" si="12"/>
        <v>186686.5203608099</v>
      </c>
      <c r="P153" s="107">
        <f t="shared" si="13"/>
        <v>2036</v>
      </c>
      <c r="Q153" s="170">
        <f t="shared" si="14"/>
        <v>186686.5203608099</v>
      </c>
      <c r="R153" s="161">
        <f>+Q153*(1-Calculations!G99)</f>
        <v>3360.357366494581</v>
      </c>
      <c r="S153" s="115">
        <f>+IF(P153&lt;='Input - Existing Situation'!$G$3,+'Input - Existing Situation'!$AO$177*365-'Input - Existing Situation'!$AO$163-'Input - Existing Situation'!$AO$143,+Q153*(1-Calculations!F99)*Calculations!F99)</f>
        <v>34051.621313811724</v>
      </c>
      <c r="T153" s="138">
        <f>IF(S153&lt;='Input - Existing Situation'!$G$3,+'Input - Existing Situation'!$AO$166,+'Input - Projection Parameters'!$AJ$165)</f>
        <v>0</v>
      </c>
      <c r="U153" s="161">
        <f t="shared" si="15"/>
        <v>217377.78430812704</v>
      </c>
      <c r="V153" s="115">
        <f>+U153*'Input - Projection Parameters'!$E$196</f>
        <v>239115.56273893977</v>
      </c>
      <c r="W153" s="116">
        <f>+U153*'Input - Projection Parameters'!$E$197</f>
        <v>434755.5686162541</v>
      </c>
      <c r="Y153" s="107">
        <f t="shared" si="16"/>
        <v>2036</v>
      </c>
      <c r="Z153" s="149">
        <f>+Calculations!I99*Calculations!D148/1000</f>
        <v>45812.44581605108</v>
      </c>
      <c r="AA153" s="149">
        <f>+SUM(E153:F153)*1000*Calculations!J99/1000000</f>
        <v>2.9131141819869795</v>
      </c>
      <c r="AB153" s="5"/>
      <c r="AC153" s="5"/>
      <c r="AD153" s="149">
        <f t="shared" si="17"/>
        <v>45815.358930233066</v>
      </c>
      <c r="AE153" s="5"/>
      <c r="AF153" s="173">
        <f t="shared" si="18"/>
        <v>210.76375893725665</v>
      </c>
    </row>
    <row r="154" spans="3:32" ht="12.75">
      <c r="C154" s="107">
        <f t="shared" si="8"/>
        <v>2037</v>
      </c>
      <c r="D154" s="138">
        <f>IF(C154&lt;='Input - Existing Situation'!$G$3,+'Input - Existing Situation'!AP138,+D47*Calculations!D149/Calculations!C149*'Input - Projection Parameters'!$E$148)</f>
        <v>55.08639845690906</v>
      </c>
      <c r="E154" s="138">
        <f>IF(C154&lt;='Input - Existing Situation'!$G$3,+'Input - Existing Situation'!$AP$140+'Input - Existing Situation'!$AP$141,+E47*'Input - Projection Parameters'!$E$150)</f>
        <v>12.860299555986169</v>
      </c>
      <c r="F154" s="138">
        <f>IF(C154&lt;='Input - Existing Situation'!$G$3,+'Input - Existing Situation'!$AP$142,+F47*'Input - Projection Parameters'!$E$149)</f>
        <v>1.742034631603092</v>
      </c>
      <c r="G154" s="147">
        <f t="shared" si="9"/>
        <v>69.68873264449832</v>
      </c>
      <c r="H154" s="138">
        <f>IF(G154&lt;='Input - Existing Situation'!$G$3,+'Input - Existing Situation'!$AP$160,+'Input - Projection Parameters'!$AK$160)</f>
        <v>0</v>
      </c>
      <c r="I154" s="138">
        <f>IF(H154&lt;='Input - Existing Situation'!$G$3,+'Input - Existing Situation'!$AP$162,+'Input - Projection Parameters'!$AK$162)</f>
        <v>0</v>
      </c>
      <c r="J154" s="138">
        <f>IF(I154&lt;='Input - Existing Situation'!$G$3,+'Input - Existing Situation'!$AP$161,+'Input - Projection Parameters'!$AK$161)</f>
        <v>0</v>
      </c>
      <c r="K154" s="147">
        <f t="shared" si="10"/>
        <v>0</v>
      </c>
      <c r="L154" s="147">
        <f t="shared" si="11"/>
        <v>69.68873264449832</v>
      </c>
      <c r="M154" s="116">
        <f t="shared" si="12"/>
        <v>190928.03464246113</v>
      </c>
      <c r="P154" s="107">
        <f t="shared" si="13"/>
        <v>2037</v>
      </c>
      <c r="Q154" s="170">
        <f t="shared" si="14"/>
        <v>190928.03464246113</v>
      </c>
      <c r="R154" s="161">
        <f>+Q154*(1-Calculations!G100)</f>
        <v>3054.848554279381</v>
      </c>
      <c r="S154" s="115">
        <f>+IF(P154&lt;='Input - Existing Situation'!$G$3,+'Input - Existing Situation'!$AP$177*365-'Input - Existing Situation'!$AP$163-'Input - Existing Situation'!$AP$143,+Q154*(1-Calculations!F100)*Calculations!F100)</f>
        <v>33813.354935179865</v>
      </c>
      <c r="T154" s="138">
        <f>IF(S154&lt;='Input - Existing Situation'!$G$3,+'Input - Existing Situation'!$AP$166,+'Input - Projection Parameters'!$AK$165)</f>
        <v>0</v>
      </c>
      <c r="U154" s="161">
        <f t="shared" si="15"/>
        <v>221686.5410233616</v>
      </c>
      <c r="V154" s="115">
        <f>+U154*'Input - Projection Parameters'!$E$196</f>
        <v>243855.1951256978</v>
      </c>
      <c r="W154" s="116">
        <f>+U154*'Input - Projection Parameters'!$E$197</f>
        <v>443373.0820467232</v>
      </c>
      <c r="Y154" s="107">
        <f t="shared" si="16"/>
        <v>2037</v>
      </c>
      <c r="Z154" s="149">
        <f>+Calculations!I100*Calculations!D149/1000</f>
        <v>46609.2736819353</v>
      </c>
      <c r="AA154" s="149">
        <f>+SUM(E154:F154)*1000*Calculations!J100/1000000</f>
        <v>2.9204668375178517</v>
      </c>
      <c r="AB154" s="5"/>
      <c r="AC154" s="5"/>
      <c r="AD154" s="149">
        <f t="shared" si="17"/>
        <v>46612.19414877282</v>
      </c>
      <c r="AE154" s="5"/>
      <c r="AF154" s="173">
        <f t="shared" si="18"/>
        <v>210.2617233035395</v>
      </c>
    </row>
    <row r="155" spans="3:32" ht="12.75">
      <c r="C155" s="107">
        <f t="shared" si="8"/>
        <v>2038</v>
      </c>
      <c r="D155" s="138">
        <f>IF(C155&lt;='Input - Existing Situation'!$G$3,+'Input - Existing Situation'!AQ138,+D48*Calculations!D150/Calculations!C150*'Input - Projection Parameters'!$E$148)</f>
        <v>56.624361841037846</v>
      </c>
      <c r="E155" s="138">
        <f>IF(C155&lt;='Input - Existing Situation'!$G$3,+'Input - Existing Situation'!$AQ$140+'Input - Existing Situation'!$AQ$141,+E48*'Input - Projection Parameters'!$E$150)</f>
        <v>12.924922561255002</v>
      </c>
      <c r="F155" s="138">
        <f>IF(C155&lt;='Input - Existing Situation'!$G$3,+'Input - Existing Situation'!$AQ$142,+F48*'Input - Projection Parameters'!$E$149)</f>
        <v>1.7144980109774792</v>
      </c>
      <c r="G155" s="147">
        <f t="shared" si="9"/>
        <v>71.26378241327032</v>
      </c>
      <c r="H155" s="138">
        <f>IF(G155&lt;='Input - Existing Situation'!$G$3,+'Input - Existing Situation'!$AQ$160,+'Input - Projection Parameters'!$AL$160)</f>
        <v>0</v>
      </c>
      <c r="I155" s="138">
        <f>IF(H155&lt;='Input - Existing Situation'!$G$3,+'Input - Existing Situation'!$AQ$162,+'Input - Projection Parameters'!$AL$162)</f>
        <v>0</v>
      </c>
      <c r="J155" s="138">
        <f>IF(I155&lt;='Input - Existing Situation'!$G$3,+'Input - Existing Situation'!$AQ$161,+'Input - Projection Parameters'!$AL$161)</f>
        <v>0</v>
      </c>
      <c r="K155" s="147">
        <f t="shared" si="10"/>
        <v>0</v>
      </c>
      <c r="L155" s="147">
        <f t="shared" si="11"/>
        <v>71.26378241327032</v>
      </c>
      <c r="M155" s="116">
        <f t="shared" si="12"/>
        <v>195243.2394884118</v>
      </c>
      <c r="P155" s="107">
        <f t="shared" si="13"/>
        <v>2038</v>
      </c>
      <c r="Q155" s="170">
        <f t="shared" si="14"/>
        <v>195243.2394884118</v>
      </c>
      <c r="R155" s="161">
        <f>+Q155*(1-Calculations!G101)</f>
        <v>2733.4053528377676</v>
      </c>
      <c r="S155" s="115">
        <f>+IF(P155&lt;='Input - Existing Situation'!$G$3,+'Input - Existing Situation'!$K$177*365-'Input - Existing Situation'!$K$163-'Input - Existing Situation'!$K$143,+Q155*(1-Calculations!F101)*Calculations!F101)</f>
        <v>33503.73989621146</v>
      </c>
      <c r="T155" s="138">
        <f>IF(S155&lt;='Input - Existing Situation'!$G$3,+'Input - Existing Situation'!$AQ$166,+'Input - Projection Parameters'!$AL$165)</f>
        <v>0</v>
      </c>
      <c r="U155" s="161">
        <f t="shared" si="15"/>
        <v>226013.5740317855</v>
      </c>
      <c r="V155" s="115">
        <f>+U155*'Input - Projection Parameters'!$E$196</f>
        <v>248614.9314349641</v>
      </c>
      <c r="W155" s="116">
        <f>+U155*'Input - Projection Parameters'!$E$197</f>
        <v>452027.148063571</v>
      </c>
      <c r="Y155" s="107">
        <f t="shared" si="16"/>
        <v>2038</v>
      </c>
      <c r="Z155" s="149">
        <f>+Calculations!I101*Calculations!D150/1000</f>
        <v>47406.10154781954</v>
      </c>
      <c r="AA155" s="149">
        <f>+SUM(E155:F155)*1000*Calculations!J101/1000000</f>
        <v>2.927884114446496</v>
      </c>
      <c r="AB155" s="5"/>
      <c r="AC155" s="5"/>
      <c r="AD155" s="149">
        <f t="shared" si="17"/>
        <v>47409.02943193399</v>
      </c>
      <c r="AE155" s="5"/>
      <c r="AF155" s="173">
        <f t="shared" si="18"/>
        <v>209.7618677773159</v>
      </c>
    </row>
    <row r="156" spans="3:32" ht="12.75">
      <c r="C156" s="107">
        <f t="shared" si="8"/>
        <v>2039</v>
      </c>
      <c r="D156" s="138">
        <f>IF(C156&lt;='Input - Existing Situation'!$G$3,+'Input - Existing Situation'!AR138,+D49*Calculations!D151/Calculations!C151*'Input - Projection Parameters'!$E$148)</f>
        <v>58.18932259030839</v>
      </c>
      <c r="E156" s="138">
        <f>IF(C156&lt;='Input - Existing Situation'!$G$3,+'Input - Existing Situation'!$AR$140+'Input - Existing Situation'!$AR$141,+E49*'Input - Projection Parameters'!$E$150)</f>
        <v>12.989870297125309</v>
      </c>
      <c r="F156" s="138">
        <f>IF(C156&lt;='Input - Existing Situation'!$G$3,+'Input - Existing Situation'!$AR$142,+F49*'Input - Projection Parameters'!$E$149)</f>
        <v>1.6869613903518665</v>
      </c>
      <c r="G156" s="147">
        <f t="shared" si="9"/>
        <v>72.86615427778557</v>
      </c>
      <c r="H156" s="138">
        <f>IF(G156&lt;='Input - Existing Situation'!$G$3,+'Input - Existing Situation'!$AR$160,+'Input - Projection Parameters'!$AM$160)</f>
        <v>0</v>
      </c>
      <c r="I156" s="138">
        <f>IF(H156&lt;='Input - Existing Situation'!$G$3,+'Input - Existing Situation'!$AR$162,+'Input - Projection Parameters'!$AM$162)</f>
        <v>0</v>
      </c>
      <c r="J156" s="138">
        <f>IF(I156&lt;='Input - Existing Situation'!$G$3,+'Input - Existing Situation'!$AR$161,+'Input - Projection Parameters'!$AM$161)</f>
        <v>0</v>
      </c>
      <c r="K156" s="147">
        <f t="shared" si="10"/>
        <v>0</v>
      </c>
      <c r="L156" s="147">
        <f t="shared" si="11"/>
        <v>72.86615427778557</v>
      </c>
      <c r="M156" s="116">
        <f t="shared" si="12"/>
        <v>199633.29939119334</v>
      </c>
      <c r="P156" s="107">
        <f t="shared" si="13"/>
        <v>2039</v>
      </c>
      <c r="Q156" s="170">
        <f t="shared" si="14"/>
        <v>199633.29939119334</v>
      </c>
      <c r="R156" s="161">
        <f>+Q156*(1-Calculations!G102)</f>
        <v>2395.5995926943224</v>
      </c>
      <c r="S156" s="115">
        <f>+IF(P156&lt;='Input - Existing Situation'!$G$3,+'Input - Existing Situation'!$K$177*365-'Input - Existing Situation'!$K$163-'Input - Existing Situation'!$K$143,+Q156*(1-Calculations!F102)*Calculations!F102)</f>
        <v>33119.16436899897</v>
      </c>
      <c r="T156" s="138">
        <f>IF(S156&lt;='Input - Existing Situation'!$G$3,+'Input - Existing Situation'!$AR$166,+'Input - Projection Parameters'!$AM$165)</f>
        <v>0</v>
      </c>
      <c r="U156" s="161">
        <f t="shared" si="15"/>
        <v>230356.86416749802</v>
      </c>
      <c r="V156" s="115">
        <f>+U156*'Input - Projection Parameters'!$E$196</f>
        <v>253392.55058424783</v>
      </c>
      <c r="W156" s="116">
        <f>+U156*'Input - Projection Parameters'!$E$197</f>
        <v>460713.72833499603</v>
      </c>
      <c r="Y156" s="107">
        <f t="shared" si="16"/>
        <v>2039</v>
      </c>
      <c r="Z156" s="149">
        <f>+Calculations!I102*Calculations!D151/1000</f>
        <v>48202.92941370377</v>
      </c>
      <c r="AA156" s="149">
        <f>+SUM(E156:F156)*1000*Calculations!J102/1000000</f>
        <v>2.935366337495435</v>
      </c>
      <c r="AB156" s="5"/>
      <c r="AC156" s="5"/>
      <c r="AD156" s="149">
        <f t="shared" si="17"/>
        <v>48205.864780041265</v>
      </c>
      <c r="AE156" s="5"/>
      <c r="AF156" s="173">
        <f t="shared" si="18"/>
        <v>209.2660227610566</v>
      </c>
    </row>
    <row r="157" spans="3:32" ht="12.75">
      <c r="C157" s="107">
        <f t="shared" si="8"/>
        <v>2040</v>
      </c>
      <c r="D157" s="138">
        <f>IF(C157&lt;='Input - Existing Situation'!$G$3,+'Input - Existing Situation'!AS138,+D50*Calculations!D152/Calculations!C152*'Input - Projection Parameters'!$E$148)</f>
        <v>59.78171062221633</v>
      </c>
      <c r="E157" s="138">
        <f>IF(C157&lt;='Input - Existing Situation'!$G$3,+'Input - Existing Situation'!$AS$140+'Input - Existing Situation'!$AS$141,+E50*'Input - Projection Parameters'!$E$150)</f>
        <v>13.055144395368366</v>
      </c>
      <c r="F157" s="138">
        <f>IF(C157&lt;='Input - Existing Situation'!$G$3,+'Input - Existing Situation'!$AS$142,+F50*'Input - Projection Parameters'!$E$149)</f>
        <v>1.659424769726254</v>
      </c>
      <c r="G157" s="147">
        <f t="shared" si="9"/>
        <v>74.49627978731095</v>
      </c>
      <c r="H157" s="138">
        <f>IF(G157&lt;='Input - Existing Situation'!$G$3,+'Input - Existing Situation'!$AS$160,+'Input - Projection Parameters'!$AN$160)</f>
        <v>0</v>
      </c>
      <c r="I157" s="138">
        <f>IF(H157&lt;='Input - Existing Situation'!$G$3,+'Input - Existing Situation'!$AS$162,+'Input - Projection Parameters'!$AN$162)</f>
        <v>0</v>
      </c>
      <c r="J157" s="138">
        <f>IF(I157&lt;='Input - Existing Situation'!$G$3,+'Input - Existing Situation'!$AS$161,+'Input - Projection Parameters'!$AN$161)</f>
        <v>0</v>
      </c>
      <c r="K157" s="147">
        <f t="shared" si="10"/>
        <v>0</v>
      </c>
      <c r="L157" s="147">
        <f t="shared" si="11"/>
        <v>74.49627978731095</v>
      </c>
      <c r="M157" s="116">
        <f t="shared" si="12"/>
        <v>204099.39667756425</v>
      </c>
      <c r="P157" s="107">
        <f t="shared" si="13"/>
        <v>2040</v>
      </c>
      <c r="Q157" s="170">
        <f t="shared" si="14"/>
        <v>204099.39667756425</v>
      </c>
      <c r="R157" s="161">
        <f>+Q157*(1-Calculations!G103)</f>
        <v>2040.9939667756444</v>
      </c>
      <c r="S157" s="115">
        <f>+IF(P157&lt;='Input - Existing Situation'!$G$3,+'Input - Existing Situation'!$K$177*365-'Input - Existing Situation'!$K$163-'Input - Existing Situation'!$K$143,+Q157*(1-Calculations!F103)*Calculations!F103)</f>
        <v>32655.90346841028</v>
      </c>
      <c r="T157" s="138">
        <f>IF(S157&lt;='Input - Existing Situation'!$G$3,+'Input - Existing Situation'!$AS$166,+'Input - Projection Parameters'!$AN$165)</f>
        <v>0</v>
      </c>
      <c r="U157" s="161">
        <f t="shared" si="15"/>
        <v>234714.30617919887</v>
      </c>
      <c r="V157" s="115">
        <f>+U157*'Input - Projection Parameters'!$E$196</f>
        <v>258185.7367971188</v>
      </c>
      <c r="W157" s="116">
        <f>+U157*'Input - Projection Parameters'!$E$197</f>
        <v>469428.61235839775</v>
      </c>
      <c r="Y157" s="107">
        <f t="shared" si="16"/>
        <v>2040</v>
      </c>
      <c r="Z157" s="149">
        <f>+Calculations!I103*Calculations!D152/1000</f>
        <v>48999.75727958802</v>
      </c>
      <c r="AA157" s="149">
        <f>+SUM(E157:F157)*1000*Calculations!J103/1000000</f>
        <v>2.9429138330189235</v>
      </c>
      <c r="AB157" s="5"/>
      <c r="AC157" s="5"/>
      <c r="AD157" s="149">
        <f t="shared" si="17"/>
        <v>49002.700193421035</v>
      </c>
      <c r="AE157" s="5"/>
      <c r="AF157" s="173">
        <f t="shared" si="18"/>
        <v>208.77594123303513</v>
      </c>
    </row>
    <row r="158" spans="3:32" ht="12.75">
      <c r="C158" s="108"/>
      <c r="D158" s="8"/>
      <c r="E158" s="8"/>
      <c r="F158" s="8"/>
      <c r="G158" s="108"/>
      <c r="H158" s="8"/>
      <c r="I158" s="8"/>
      <c r="J158" s="8"/>
      <c r="K158" s="108"/>
      <c r="L158" s="108"/>
      <c r="M158" s="9"/>
      <c r="P158" s="108"/>
      <c r="Q158" s="7"/>
      <c r="R158" s="8"/>
      <c r="S158" s="8"/>
      <c r="T158" s="8"/>
      <c r="U158" s="8"/>
      <c r="V158" s="8"/>
      <c r="W158" s="9"/>
      <c r="Y158" s="108"/>
      <c r="Z158" s="8"/>
      <c r="AA158" s="8"/>
      <c r="AB158" s="8"/>
      <c r="AC158" s="8"/>
      <c r="AD158" s="8"/>
      <c r="AE158" s="8"/>
      <c r="AF158" s="9"/>
    </row>
  </sheetData>
  <mergeCells count="7">
    <mergeCell ref="D5:F5"/>
    <mergeCell ref="K5:M5"/>
    <mergeCell ref="D57:F57"/>
    <mergeCell ref="D113:F113"/>
    <mergeCell ref="H113:J113"/>
    <mergeCell ref="D108:L108"/>
    <mergeCell ref="D110:K1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 | EIB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TAGG</dc:creator>
  <cp:keywords/>
  <dc:description/>
  <cp:lastModifiedBy>TAGG</cp:lastModifiedBy>
  <dcterms:created xsi:type="dcterms:W3CDTF">2007-06-26T14:22:22Z</dcterms:created>
  <dcterms:modified xsi:type="dcterms:W3CDTF">2007-07-06T12:30:28Z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