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9420" windowHeight="4380" tabRatio="671"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6"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2013.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 ref="AH42" authorId="1">
      <text>
        <r>
          <rPr>
            <sz val="8"/>
            <rFont val="Tahoma"/>
            <family val="2"/>
          </rPr>
          <t>V poslednom roku časového horizontu finančnej analýzy je vyplnená zostatková hodnota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17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<sst xmlns="http://schemas.openxmlformats.org/spreadsheetml/2006/main" count="401" uniqueCount="311">
  <si>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</si>
  <si>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</si>
  <si>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</si>
  <si>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</si>
  <si>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</si>
  <si>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</si>
  <si>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</si>
  <si>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</si>
  <si>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</si>
  <si>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</si>
  <si>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</si>
  <si>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</si>
  <si>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</si>
  <si>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</si>
  <si>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</si>
  <si>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</si>
  <si>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</si>
  <si>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</si>
  <si>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</si>
  <si>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</si>
  <si>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</si>
  <si>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</si>
  <si>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</si>
  <si>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</si>
  <si>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</si>
  <si>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</si>
  <si>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</si>
  <si>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</si>
  <si>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</si>
  <si>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</si>
  <si>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</si>
  <si>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</si>
  <si>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</si>
  <si>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</si>
  <si>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</si>
  <si>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</si>
  <si>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</si>
  <si>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</si>
  <si>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</si>
  <si>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</si>
  <si>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</si>
  <si>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</si>
  <si>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</si>
  <si>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</si>
  <si>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</si>
  <si>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</si>
  <si>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</si>
  <si>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</si>
  <si>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</si>
  <si>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</si>
  <si>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</si>
  <si>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</si>
  <si>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</si>
  <si>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</si>
  <si>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</si>
  <si>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</si>
  <si>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</si>
  <si>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</si>
  <si>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</si>
  <si>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</si>
  <si>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</si>
  <si>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</si>
  <si>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</si>
  <si>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</si>
  <si>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</si>
  <si>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</si>
  <si>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</si>
  <si>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</si>
  <si>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</si>
  <si>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</si>
  <si>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</si>
  <si>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</si>
  <si>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</si>
  <si>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</si>
  <si>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</si>
  <si>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</si>
  <si>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</si>
  <si>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</si>
  <si>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</si>
  <si>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</si>
  <si>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</si>
  <si>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</si>
  <si>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</si>
  <si>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</si>
  <si>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</si>
  <si>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</si>
  <si>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</si>
  <si>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</si>
  <si>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</si>
  <si>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</si>
  <si>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</si>
  <si>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</si>
  <si>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</si>
  <si>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</si>
  <si>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</si>
  <si>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</si>
  <si>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</si>
  <si>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</si>
  <si>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</si>
  <si>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</si>
  <si>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</si>
  <si>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</si>
  <si>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</si>
  <si>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</si>
  <si>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</si>
  <si>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</si>
  <si>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</si>
  <si>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</si>
  <si>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</si>
  <si>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</si>
  <si>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</si>
  <si>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</si>
  <si>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</si>
  <si>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</si>
  <si>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</si>
  <si>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</si>
  <si>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</si>
  <si>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</si>
  <si>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</si>
  <si>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</si>
  <si>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</si>
  <si>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</si>
  <si>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</si>
  <si>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</si>
  <si>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</si>
  <si>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</si>
  <si>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</si>
  <si>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</si>
  <si>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</si>
  <si>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</si>
  <si>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</si>
  <si>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</si>
  <si>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</si>
  <si>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</si>
  <si>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</si>
  <si>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</si>
  <si>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</si>
  <si>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</si>
  <si>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</si>
  <si>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</si>
  <si>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</si>
  <si>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</si>
  <si>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</si>
  <si>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</si>
  <si>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</si>
  <si>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</si>
  <si>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</si>
  <si>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</si>
  <si>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</si>
  <si>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</si>
  <si>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</si>
  <si>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</si>
  <si>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</si>
  <si>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</si>
  <si>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</si>
  <si>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</si>
  <si>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</si>
  <si>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</si>
  <si>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</si>
  <si>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</si>
  <si>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</si>
  <si>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</si>
  <si>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</si>
  <si>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</si>
  <si>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</si>
  <si>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</si>
  <si>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</si>
  <si>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</si>
  <si>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</si>
  <si>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</si>
  <si>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</si>
  <si>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</si>
  <si>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</si>
  <si>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</si>
  <si>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</si>
  <si>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</si>
  <si>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</si>
  <si>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</si>
  <si>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</si>
  <si>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</si>
  <si>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</si>
  <si>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</si>
  <si>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</si>
  <si>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</si>
  <si>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</si>
  <si>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</si>
  <si>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</si>
  <si>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</si>
  <si>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</si>
  <si>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</si>
  <si>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</si>
  <si>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</si>
  <si>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</si>
  <si>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</si>
  <si>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</si>
  <si>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</si>
  <si>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</si>
  <si>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</si>
  <si>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</si>
  <si>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</si>
  <si>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</si>
  <si>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</si>
  <si>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</si>
  <si>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</si>
  <si>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</si>
  <si>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</si>
  <si>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</si>
  <si>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</si>
  <si>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</si>
  <si>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</si>
  <si>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</si>
  <si>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</si>
  <si>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</si>
  <si>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</si>
  <si>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</si>
  <si>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</si>
  <si>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</si>
  <si>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</si>
  <si>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</si>
  <si>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</si>
  <si>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</si>
  <si>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</si>
  <si>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</si>
  <si>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</si>
  <si>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</si>
  <si>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</si>
  <si>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</si>
  <si>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</si>
  <si>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</si>
  <si>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</si>
  <si>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</si>
  <si>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</si>
  <si>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</si>
  <si>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</si>
  <si>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</si>
  <si>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</si>
  <si>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</si>
  <si>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</si>
  <si>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</si>
  <si>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</si>
  <si>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</si>
  <si>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</si>
  <si>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</si>
  <si>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</si>
  <si>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</si>
  <si>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</si>
  <si>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</si>
  <si>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</si>
  <si>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</si>
  <si>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</si>
  <si>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</si>
  <si>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</si>
  <si>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</si>
  <si>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</si>
  <si>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</si>
  <si>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</si>
  <si>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</si>
  <si>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</si>
  <si>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</si>
  <si>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</si>
  <si>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</si>
  <si>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</si>
  <si>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</si>
  <si>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</si>
  <si>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</si>
  <si>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</si>
  <si>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</si>
  <si>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</si>
  <si>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</si>
  <si>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</si>
  <si>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</si>
  <si>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</si>
  <si>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</si>
  <si>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</si>
  <si>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</si>
  <si>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</si>
  <si>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</si>
  <si>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</si>
  <si>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</si>
  <si>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</si>
  <si>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</si>
  <si>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</si>
  <si>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</si>
  <si>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</si>
  <si>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</si>
  <si>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</si>
  <si>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</si>
  <si>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</si>
  <si>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</si>
  <si>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</si>
  <si>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</si>
  <si>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</si>
  <si>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</si>
  <si>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</si>
  <si>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</si>
  <si>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</si>
  <si>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</si>
  <si>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</si>
  <si>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</si>
  <si>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</si>
  <si>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</si>
  <si>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</si>
  <si>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</si>
  <si>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</si>
  <si>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</si>
  <si>
    <t>iný subjekt verejnej správy, v prípade, ak nie je účastníkom hospodárskej súťaže</t>
  </si>
  <si>
    <t>Veľký podnik, resp. subjekt, ktorý sa stáva účastníkom hospodárskej súťaže, ak nespĺňa definíciu malého alebo stredného podniku</t>
  </si>
  <si>
    <t xml:space="preserve">obec, združenie obcí  v prípade, že obec, resp. združenie obcí nie je účastníkom hospodárskej súťaže a členmi združenia sú iba obce, resp. subjekty verejnej </t>
  </si>
  <si>
    <t xml:space="preserve">projekt je kombináciou regionálnej štátnej pomoci a </t>
  </si>
  <si>
    <t>štátnej pomoci na základe skupinovej výnimky - hodnotu</t>
  </si>
  <si>
    <t>intenzity vyplní žiadateľ na základe výpočtu v príslušnej prílohe ŽoNFP</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</si>
</sst>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6">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rgb="FFFF0000"/>
      <name val="Arial Narrow"/>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indexed="40"/>
        <bgColor indexed="64"/>
      </patternFill>
    </fill>
    <fill>
      <patternFill patternType="solid">
        <fgColor rgb="FFCCFFCC"/>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style="medium"/>
      <right style="medium"/>
      <top style="medium"/>
      <bottom style="mediu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7"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3">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5"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3"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3" applyNumberFormat="1" applyFont="1" applyFill="1" applyAlignment="1">
      <alignment/>
    </xf>
    <xf numFmtId="3" fontId="2" fillId="33" borderId="0" xfId="33"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5" applyNumberFormat="1" applyFont="1" applyFill="1" applyBorder="1" applyAlignment="1" applyProtection="1">
      <alignment/>
      <protection/>
    </xf>
    <xf numFmtId="9" fontId="0" fillId="33" borderId="0" xfId="45"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3"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5"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5"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5"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5"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5"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5"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5" applyNumberFormat="1" applyFont="1" applyFill="1" applyBorder="1" applyAlignment="1" applyProtection="1">
      <alignment horizontal="center" vertical="center"/>
      <protection/>
    </xf>
    <xf numFmtId="9" fontId="8" fillId="33" borderId="19" xfId="45"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5" applyFont="1" applyFill="1" applyAlignment="1" applyProtection="1">
      <alignment/>
      <protection/>
    </xf>
    <xf numFmtId="10" fontId="9" fillId="35" borderId="0" xfId="45"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5" applyFont="1" applyFill="1" applyBorder="1" applyAlignment="1" applyProtection="1">
      <alignment horizontal="center"/>
      <protection/>
    </xf>
    <xf numFmtId="10" fontId="9" fillId="35" borderId="27" xfId="45" applyNumberFormat="1" applyFont="1" applyFill="1" applyBorder="1" applyAlignment="1" applyProtection="1">
      <alignment horizontal="center"/>
      <protection/>
    </xf>
    <xf numFmtId="209" fontId="9" fillId="35" borderId="27" xfId="45"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5" applyNumberFormat="1" applyFont="1" applyFill="1" applyBorder="1" applyAlignment="1" applyProtection="1">
      <alignment horizontal="center"/>
      <protection/>
    </xf>
    <xf numFmtId="4" fontId="9" fillId="35" borderId="19" xfId="33"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3" applyNumberFormat="1" applyFont="1" applyFill="1" applyAlignment="1" applyProtection="1">
      <alignment/>
      <protection/>
    </xf>
    <xf numFmtId="209" fontId="9" fillId="35" borderId="0" xfId="45"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3" applyNumberFormat="1" applyFont="1" applyFill="1" applyAlignment="1" applyProtection="1">
      <alignment/>
      <protection locked="0"/>
    </xf>
    <xf numFmtId="3" fontId="2" fillId="33" borderId="0" xfId="33"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3"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5"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5" applyNumberFormat="1" applyFont="1" applyFill="1" applyAlignment="1" applyProtection="1">
      <alignment horizontal="center"/>
      <protection/>
    </xf>
    <xf numFmtId="9" fontId="1" fillId="41" borderId="0" xfId="45"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30" xfId="0" applyNumberFormat="1" applyBorder="1" applyAlignment="1" applyProtection="1">
      <alignment horizontal="center"/>
      <protection hidden="1" locked="0"/>
    </xf>
    <xf numFmtId="0" fontId="0" fillId="34" borderId="31"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171" fontId="9" fillId="33" borderId="32" xfId="45" applyNumberFormat="1" applyFont="1" applyFill="1" applyBorder="1" applyAlignment="1" applyProtection="1">
      <alignment horizontal="right"/>
      <protection/>
    </xf>
    <xf numFmtId="0" fontId="0" fillId="0" borderId="33" xfId="0" applyBorder="1" applyAlignment="1">
      <alignment horizontal="right"/>
    </xf>
    <xf numFmtId="4" fontId="9" fillId="35" borderId="19" xfId="0" applyNumberFormat="1" applyFont="1" applyFill="1" applyBorder="1" applyAlignment="1" applyProtection="1">
      <alignment horizontal="right"/>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4" xfId="0"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left" vertical="top" wrapText="1"/>
      <protection locked="0"/>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4"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5"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171" fontId="9" fillId="33" borderId="19" xfId="45" applyNumberFormat="1" applyFont="1" applyFill="1" applyBorder="1" applyAlignment="1" applyProtection="1">
      <alignment horizontal="center"/>
      <protection/>
    </xf>
    <xf numFmtId="10" fontId="9" fillId="33" borderId="32" xfId="45" applyNumberFormat="1" applyFont="1" applyFill="1" applyBorder="1" applyAlignment="1" applyProtection="1">
      <alignment horizontal="center"/>
      <protection/>
    </xf>
    <xf numFmtId="10" fontId="9" fillId="33" borderId="33" xfId="45" applyNumberFormat="1" applyFont="1" applyFill="1" applyBorder="1" applyAlignment="1" applyProtection="1">
      <alignment horizontal="center"/>
      <protection/>
    </xf>
    <xf numFmtId="0" fontId="8" fillId="42" borderId="32" xfId="0" applyFont="1" applyFill="1" applyBorder="1" applyAlignment="1" applyProtection="1">
      <alignment horizontal="left" vertical="top" wrapText="1"/>
      <protection/>
    </xf>
    <xf numFmtId="0" fontId="8" fillId="42" borderId="36" xfId="0" applyFont="1" applyFill="1" applyBorder="1" applyAlignment="1" applyProtection="1">
      <alignment horizontal="left" vertical="top" wrapText="1"/>
      <protection/>
    </xf>
    <xf numFmtId="0" fontId="8" fillId="42" borderId="33" xfId="0" applyFont="1" applyFill="1" applyBorder="1" applyAlignment="1" applyProtection="1">
      <alignment horizontal="left" vertical="top" wrapText="1"/>
      <protection/>
    </xf>
    <xf numFmtId="0" fontId="8" fillId="42" borderId="32" xfId="0" applyFont="1" applyFill="1" applyBorder="1" applyAlignment="1" applyProtection="1">
      <alignment horizontal="center" vertical="top" wrapText="1"/>
      <protection/>
    </xf>
    <xf numFmtId="0" fontId="8" fillId="42" borderId="36" xfId="0" applyFont="1" applyFill="1" applyBorder="1" applyAlignment="1" applyProtection="1">
      <alignment horizontal="center" vertical="top" wrapText="1"/>
      <protection/>
    </xf>
    <xf numFmtId="0" fontId="8" fillId="42" borderId="33" xfId="0" applyFont="1" applyFill="1" applyBorder="1" applyAlignment="1" applyProtection="1">
      <alignment horizontal="center" vertical="top" wrapText="1"/>
      <protection/>
    </xf>
    <xf numFmtId="0" fontId="8" fillId="42"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0" fontId="9" fillId="35" borderId="32" xfId="0" applyFont="1" applyFill="1" applyBorder="1" applyAlignment="1" applyProtection="1">
      <alignment horizontal="left" vertical="top" wrapText="1"/>
      <protection/>
    </xf>
    <xf numFmtId="0" fontId="0" fillId="0" borderId="36" xfId="0" applyBorder="1" applyAlignment="1">
      <alignment horizontal="left" vertical="top" wrapText="1"/>
    </xf>
    <xf numFmtId="0" fontId="0" fillId="0" borderId="33" xfId="0" applyBorder="1" applyAlignment="1">
      <alignment horizontal="left" vertical="top" wrapText="1"/>
    </xf>
    <xf numFmtId="0" fontId="9" fillId="43" borderId="32" xfId="0" applyFont="1" applyFill="1" applyBorder="1" applyAlignment="1" applyProtection="1">
      <alignment vertical="top" wrapText="1"/>
      <protection/>
    </xf>
    <xf numFmtId="0" fontId="9" fillId="43" borderId="36" xfId="0" applyFont="1" applyFill="1" applyBorder="1" applyAlignment="1" applyProtection="1">
      <alignment vertical="top" wrapText="1"/>
      <protection/>
    </xf>
    <xf numFmtId="0" fontId="9" fillId="43" borderId="33" xfId="0" applyFont="1" applyFill="1" applyBorder="1" applyAlignment="1" applyProtection="1">
      <alignment vertical="top" wrapText="1"/>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3" borderId="39"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43"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4" xfId="0" applyFill="1" applyBorder="1" applyAlignment="1" applyProtection="1">
      <alignment vertical="top" wrapText="1"/>
      <protection/>
    </xf>
    <xf numFmtId="181" fontId="54" fillId="35" borderId="0" xfId="45" applyNumberFormat="1" applyFont="1" applyFill="1" applyAlignment="1" applyProtection="1">
      <alignment/>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6"/>
  <sheetViews>
    <sheetView showGridLines="0" tabSelected="1" zoomScalePageLayoutView="0" workbookViewId="0" topLeftCell="A1">
      <selection activeCell="A1" sqref="A1"/>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0" customFormat="1" ht="75.75" customHeight="1" thickBot="1" thickTop="1">
      <c r="B3" s="281"/>
      <c r="C3" s="315" t="s">
        <v>237</v>
      </c>
      <c r="D3" s="315"/>
      <c r="E3" s="315"/>
      <c r="F3" s="315"/>
      <c r="G3" s="315"/>
      <c r="H3" s="315"/>
      <c r="I3" s="315"/>
      <c r="J3" s="315"/>
      <c r="K3" s="315"/>
      <c r="L3" s="282"/>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7" t="s">
        <v>60</v>
      </c>
      <c r="D7" s="317"/>
      <c r="E7" s="317"/>
      <c r="F7" s="317"/>
      <c r="G7" s="317"/>
      <c r="H7" s="317"/>
      <c r="I7" s="317"/>
      <c r="J7" s="317"/>
      <c r="K7" s="317"/>
      <c r="L7" s="117"/>
    </row>
    <row r="8" spans="2:12" s="15" customFormat="1" ht="12.75" customHeight="1">
      <c r="B8" s="116"/>
      <c r="C8" s="51"/>
      <c r="D8" s="51"/>
      <c r="E8" s="51"/>
      <c r="F8" s="51"/>
      <c r="G8" s="51"/>
      <c r="H8" s="51"/>
      <c r="I8" s="51"/>
      <c r="J8" s="51"/>
      <c r="K8" s="51"/>
      <c r="L8" s="117"/>
    </row>
    <row r="9" spans="2:12" s="52" customFormat="1" ht="12.75">
      <c r="B9" s="118"/>
      <c r="C9" s="318" t="s">
        <v>188</v>
      </c>
      <c r="D9" s="318"/>
      <c r="E9" s="318"/>
      <c r="F9" s="318"/>
      <c r="G9" s="318"/>
      <c r="H9" s="318"/>
      <c r="I9" s="318"/>
      <c r="J9" s="318"/>
      <c r="K9" s="318"/>
      <c r="L9" s="119"/>
    </row>
    <row r="10" spans="2:12" s="14" customFormat="1" ht="12.75">
      <c r="B10" s="120"/>
      <c r="C10" s="12"/>
      <c r="D10" s="12"/>
      <c r="E10" s="12"/>
      <c r="F10" s="13"/>
      <c r="G10" s="12"/>
      <c r="H10" s="12"/>
      <c r="I10" s="12"/>
      <c r="J10" s="12"/>
      <c r="K10" s="12"/>
      <c r="L10" s="121"/>
    </row>
    <row r="11" spans="2:12" s="14" customFormat="1" ht="52.5" customHeight="1">
      <c r="B11" s="120"/>
      <c r="C11" s="317" t="s">
        <v>59</v>
      </c>
      <c r="D11" s="317"/>
      <c r="E11" s="317"/>
      <c r="F11" s="317"/>
      <c r="G11" s="317"/>
      <c r="H11" s="317"/>
      <c r="I11" s="317"/>
      <c r="J11" s="317"/>
      <c r="K11" s="317"/>
      <c r="L11" s="121"/>
    </row>
    <row r="12" spans="2:12" s="14" customFormat="1" ht="12.75">
      <c r="B12" s="120"/>
      <c r="C12" s="12"/>
      <c r="D12" s="12"/>
      <c r="E12" s="12"/>
      <c r="F12" s="13"/>
      <c r="G12" s="12"/>
      <c r="H12" s="12"/>
      <c r="I12" s="12"/>
      <c r="J12" s="12"/>
      <c r="K12" s="12"/>
      <c r="L12" s="121"/>
    </row>
    <row r="13" spans="2:12" s="14" customFormat="1" ht="65.25" customHeight="1">
      <c r="B13" s="120"/>
      <c r="C13" s="317" t="s">
        <v>89</v>
      </c>
      <c r="D13" s="317"/>
      <c r="E13" s="317"/>
      <c r="F13" s="317"/>
      <c r="G13" s="317"/>
      <c r="H13" s="317"/>
      <c r="I13" s="317"/>
      <c r="J13" s="317"/>
      <c r="K13" s="317"/>
      <c r="L13" s="121"/>
    </row>
    <row r="14" spans="2:12" s="14" customFormat="1" ht="12.75">
      <c r="B14" s="120"/>
      <c r="C14" s="51"/>
      <c r="D14" s="51"/>
      <c r="E14" s="51"/>
      <c r="F14" s="51"/>
      <c r="G14" s="51"/>
      <c r="H14" s="51"/>
      <c r="I14" s="51"/>
      <c r="J14" s="51"/>
      <c r="K14" s="51"/>
      <c r="L14" s="121"/>
    </row>
    <row r="15" spans="2:12" s="14" customFormat="1" ht="39" customHeight="1">
      <c r="B15" s="120"/>
      <c r="C15" s="317" t="s">
        <v>107</v>
      </c>
      <c r="D15" s="317"/>
      <c r="E15" s="317"/>
      <c r="F15" s="317"/>
      <c r="G15" s="317"/>
      <c r="H15" s="317"/>
      <c r="I15" s="317"/>
      <c r="J15" s="317"/>
      <c r="K15" s="317"/>
      <c r="L15" s="121"/>
    </row>
    <row r="16" spans="2:12" s="16" customFormat="1" ht="13.5" thickBot="1">
      <c r="B16" s="122"/>
      <c r="C16" s="316"/>
      <c r="D16" s="316"/>
      <c r="E16" s="316"/>
      <c r="F16" s="316"/>
      <c r="G16" s="316"/>
      <c r="H16" s="316"/>
      <c r="I16" s="316"/>
      <c r="J16" s="316"/>
      <c r="K16" s="316"/>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zoomScale="85"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174</v>
      </c>
      <c r="B1" s="20">
        <f>'Peňažné toky projektu'!$B$14</f>
        <v>2014</v>
      </c>
      <c r="C1" s="20">
        <f>B1+1</f>
        <v>2015</v>
      </c>
      <c r="D1" s="20">
        <f aca="true" t="shared" si="0" ref="D1:AJ1">C1+1</f>
        <v>2016</v>
      </c>
      <c r="E1" s="20">
        <f t="shared" si="0"/>
        <v>2017</v>
      </c>
      <c r="F1" s="20">
        <f t="shared" si="0"/>
        <v>2018</v>
      </c>
      <c r="G1" s="20">
        <f t="shared" si="0"/>
        <v>2019</v>
      </c>
      <c r="H1" s="20">
        <f t="shared" si="0"/>
        <v>2020</v>
      </c>
      <c r="I1" s="20">
        <f t="shared" si="0"/>
        <v>2021</v>
      </c>
      <c r="J1" s="20">
        <f t="shared" si="0"/>
        <v>2022</v>
      </c>
      <c r="K1" s="20">
        <f t="shared" si="0"/>
        <v>2023</v>
      </c>
      <c r="L1" s="20">
        <f t="shared" si="0"/>
        <v>2024</v>
      </c>
      <c r="M1" s="20">
        <f t="shared" si="0"/>
        <v>2025</v>
      </c>
      <c r="N1" s="20">
        <f t="shared" si="0"/>
        <v>2026</v>
      </c>
      <c r="O1" s="20">
        <f t="shared" si="0"/>
        <v>2027</v>
      </c>
      <c r="P1" s="20">
        <f t="shared" si="0"/>
        <v>2028</v>
      </c>
      <c r="Q1" s="20">
        <f t="shared" si="0"/>
        <v>2029</v>
      </c>
      <c r="R1" s="20">
        <f t="shared" si="0"/>
        <v>2030</v>
      </c>
      <c r="S1" s="20">
        <f t="shared" si="0"/>
        <v>2031</v>
      </c>
      <c r="T1" s="20">
        <f t="shared" si="0"/>
        <v>2032</v>
      </c>
      <c r="U1" s="20">
        <f t="shared" si="0"/>
        <v>2033</v>
      </c>
      <c r="V1" s="20">
        <f t="shared" si="0"/>
        <v>2034</v>
      </c>
      <c r="W1" s="20">
        <f t="shared" si="0"/>
        <v>2035</v>
      </c>
      <c r="X1" s="20">
        <f t="shared" si="0"/>
        <v>2036</v>
      </c>
      <c r="Y1" s="20">
        <f t="shared" si="0"/>
        <v>2037</v>
      </c>
      <c r="Z1" s="20">
        <f t="shared" si="0"/>
        <v>2038</v>
      </c>
      <c r="AA1" s="20">
        <f t="shared" si="0"/>
        <v>2039</v>
      </c>
      <c r="AB1" s="20">
        <f t="shared" si="0"/>
        <v>2040</v>
      </c>
      <c r="AC1" s="20">
        <f t="shared" si="0"/>
        <v>2041</v>
      </c>
      <c r="AD1" s="20">
        <f t="shared" si="0"/>
        <v>2042</v>
      </c>
      <c r="AE1" s="20">
        <f t="shared" si="0"/>
        <v>2043</v>
      </c>
      <c r="AF1" s="20">
        <f t="shared" si="0"/>
        <v>2044</v>
      </c>
      <c r="AG1" s="20">
        <f t="shared" si="0"/>
        <v>2045</v>
      </c>
      <c r="AH1" s="20">
        <f t="shared" si="0"/>
        <v>2046</v>
      </c>
      <c r="AI1" s="20">
        <f t="shared" si="0"/>
        <v>2047</v>
      </c>
      <c r="AJ1" s="20">
        <f t="shared" si="0"/>
        <v>2048</v>
      </c>
    </row>
    <row r="2" ht="12.75"/>
    <row r="3" spans="1:36" ht="12.75">
      <c r="A3" s="77" t="s">
        <v>238</v>
      </c>
      <c r="B3" s="291">
        <v>320</v>
      </c>
      <c r="C3" s="291">
        <v>320</v>
      </c>
      <c r="D3" s="291">
        <v>320</v>
      </c>
      <c r="E3" s="291">
        <v>320</v>
      </c>
      <c r="F3" s="291">
        <v>320</v>
      </c>
      <c r="G3" s="291">
        <v>320</v>
      </c>
      <c r="H3" s="291">
        <v>320</v>
      </c>
      <c r="I3" s="291">
        <v>320</v>
      </c>
      <c r="J3" s="291">
        <v>320</v>
      </c>
      <c r="K3" s="291">
        <v>320</v>
      </c>
      <c r="L3" s="291">
        <v>320</v>
      </c>
      <c r="M3" s="291">
        <v>320</v>
      </c>
      <c r="N3" s="291">
        <v>320</v>
      </c>
      <c r="O3" s="291">
        <v>320</v>
      </c>
      <c r="P3" s="291">
        <v>320</v>
      </c>
      <c r="Q3" s="291">
        <v>320</v>
      </c>
      <c r="R3" s="291">
        <v>320</v>
      </c>
      <c r="S3" s="291">
        <v>320</v>
      </c>
      <c r="T3" s="291">
        <v>320</v>
      </c>
      <c r="U3" s="291">
        <v>320</v>
      </c>
      <c r="V3" s="291">
        <v>320</v>
      </c>
      <c r="W3" s="291">
        <v>320</v>
      </c>
      <c r="X3" s="291">
        <v>320</v>
      </c>
      <c r="Y3" s="291">
        <v>320</v>
      </c>
      <c r="Z3" s="291">
        <v>320</v>
      </c>
      <c r="AA3" s="291">
        <v>320</v>
      </c>
      <c r="AB3" s="291">
        <v>320</v>
      </c>
      <c r="AC3" s="291">
        <v>320</v>
      </c>
      <c r="AD3" s="291">
        <v>320</v>
      </c>
      <c r="AE3" s="291">
        <v>320</v>
      </c>
      <c r="AF3" s="291">
        <v>320</v>
      </c>
      <c r="AG3" s="291">
        <v>320</v>
      </c>
      <c r="AH3" s="291">
        <v>0</v>
      </c>
      <c r="AI3" s="291">
        <v>0</v>
      </c>
      <c r="AJ3" s="291">
        <v>0</v>
      </c>
    </row>
    <row r="4" spans="1:36" ht="12.75">
      <c r="A4" s="77" t="s">
        <v>67</v>
      </c>
      <c r="B4" s="292">
        <f>B3*B6</f>
        <v>905.6</v>
      </c>
      <c r="C4" s="292">
        <f aca="true" t="shared" si="1" ref="C4:AJ4">C3*C6</f>
        <v>905.6</v>
      </c>
      <c r="D4" s="292">
        <f t="shared" si="1"/>
        <v>905.6</v>
      </c>
      <c r="E4" s="292">
        <f t="shared" si="1"/>
        <v>905.6</v>
      </c>
      <c r="F4" s="292">
        <f t="shared" si="1"/>
        <v>905.6</v>
      </c>
      <c r="G4" s="292">
        <f t="shared" si="1"/>
        <v>905.6</v>
      </c>
      <c r="H4" s="292">
        <f t="shared" si="1"/>
        <v>905.6</v>
      </c>
      <c r="I4" s="292">
        <f t="shared" si="1"/>
        <v>905.6</v>
      </c>
      <c r="J4" s="292">
        <f t="shared" si="1"/>
        <v>905.6</v>
      </c>
      <c r="K4" s="292">
        <f t="shared" si="1"/>
        <v>905.6</v>
      </c>
      <c r="L4" s="292">
        <f t="shared" si="1"/>
        <v>905.6</v>
      </c>
      <c r="M4" s="292">
        <f t="shared" si="1"/>
        <v>905.6</v>
      </c>
      <c r="N4" s="292">
        <f t="shared" si="1"/>
        <v>905.6</v>
      </c>
      <c r="O4" s="292">
        <f t="shared" si="1"/>
        <v>905.6</v>
      </c>
      <c r="P4" s="292">
        <f t="shared" si="1"/>
        <v>905.6</v>
      </c>
      <c r="Q4" s="292">
        <f t="shared" si="1"/>
        <v>905.6</v>
      </c>
      <c r="R4" s="292">
        <f t="shared" si="1"/>
        <v>905.6</v>
      </c>
      <c r="S4" s="292">
        <f t="shared" si="1"/>
        <v>905.6</v>
      </c>
      <c r="T4" s="292">
        <f t="shared" si="1"/>
        <v>905.6</v>
      </c>
      <c r="U4" s="292">
        <f t="shared" si="1"/>
        <v>905.6</v>
      </c>
      <c r="V4" s="292">
        <f t="shared" si="1"/>
        <v>905.6</v>
      </c>
      <c r="W4" s="292">
        <f t="shared" si="1"/>
        <v>905.6</v>
      </c>
      <c r="X4" s="292">
        <f t="shared" si="1"/>
        <v>905.6</v>
      </c>
      <c r="Y4" s="292">
        <f t="shared" si="1"/>
        <v>905.6</v>
      </c>
      <c r="Z4" s="292">
        <f t="shared" si="1"/>
        <v>905.6</v>
      </c>
      <c r="AA4" s="292">
        <f t="shared" si="1"/>
        <v>905.6</v>
      </c>
      <c r="AB4" s="292">
        <f t="shared" si="1"/>
        <v>905.6</v>
      </c>
      <c r="AC4" s="292">
        <f t="shared" si="1"/>
        <v>905.6</v>
      </c>
      <c r="AD4" s="292">
        <f t="shared" si="1"/>
        <v>905.6</v>
      </c>
      <c r="AE4" s="292">
        <f t="shared" si="1"/>
        <v>905.6</v>
      </c>
      <c r="AF4" s="292">
        <f t="shared" si="1"/>
        <v>905.6</v>
      </c>
      <c r="AG4" s="292">
        <f t="shared" si="1"/>
        <v>905.6</v>
      </c>
      <c r="AH4" s="292">
        <f t="shared" si="1"/>
        <v>0</v>
      </c>
      <c r="AI4" s="292">
        <f t="shared" si="1"/>
        <v>0</v>
      </c>
      <c r="AJ4" s="292">
        <f t="shared" si="1"/>
        <v>0</v>
      </c>
    </row>
    <row r="5" ht="12.75"/>
    <row r="6" spans="1:36" ht="12.75">
      <c r="A6" s="77" t="s">
        <v>236</v>
      </c>
      <c r="B6" s="284">
        <v>2.83</v>
      </c>
      <c r="C6" s="284">
        <v>2.83</v>
      </c>
      <c r="D6" s="284">
        <v>2.83</v>
      </c>
      <c r="E6" s="284">
        <v>2.83</v>
      </c>
      <c r="F6" s="284">
        <v>2.83</v>
      </c>
      <c r="G6" s="284">
        <v>2.83</v>
      </c>
      <c r="H6" s="284">
        <v>2.83</v>
      </c>
      <c r="I6" s="284">
        <v>2.83</v>
      </c>
      <c r="J6" s="284">
        <v>2.83</v>
      </c>
      <c r="K6" s="284">
        <v>2.83</v>
      </c>
      <c r="L6" s="284">
        <v>2.83</v>
      </c>
      <c r="M6" s="284">
        <v>2.83</v>
      </c>
      <c r="N6" s="284">
        <v>2.83</v>
      </c>
      <c r="O6" s="284">
        <v>2.83</v>
      </c>
      <c r="P6" s="284">
        <v>2.83</v>
      </c>
      <c r="Q6" s="284">
        <v>2.83</v>
      </c>
      <c r="R6" s="284">
        <v>2.83</v>
      </c>
      <c r="S6" s="284">
        <v>2.83</v>
      </c>
      <c r="T6" s="284">
        <v>2.83</v>
      </c>
      <c r="U6" s="284">
        <v>2.83</v>
      </c>
      <c r="V6" s="284">
        <v>2.83</v>
      </c>
      <c r="W6" s="284">
        <v>2.83</v>
      </c>
      <c r="X6" s="284">
        <v>2.83</v>
      </c>
      <c r="Y6" s="284">
        <v>2.83</v>
      </c>
      <c r="Z6" s="284">
        <v>2.83</v>
      </c>
      <c r="AA6" s="284">
        <v>2.83</v>
      </c>
      <c r="AB6" s="284">
        <v>2.83</v>
      </c>
      <c r="AC6" s="284">
        <v>2.83</v>
      </c>
      <c r="AD6" s="284">
        <v>2.83</v>
      </c>
      <c r="AE6" s="284">
        <v>2.83</v>
      </c>
      <c r="AF6" s="284">
        <v>2.83</v>
      </c>
      <c r="AG6" s="284">
        <v>2.83</v>
      </c>
      <c r="AH6" s="284">
        <v>0</v>
      </c>
      <c r="AI6" s="284">
        <v>0</v>
      </c>
      <c r="AJ6" s="284">
        <v>0</v>
      </c>
    </row>
    <row r="7" spans="1:36" ht="12.75">
      <c r="A7" s="77" t="s">
        <v>239</v>
      </c>
      <c r="B7" s="283">
        <f>B6*'Príjmy z prevádzky'!D11</f>
        <v>91.93255</v>
      </c>
      <c r="C7" s="283">
        <f>C6*'Príjmy z prevádzky'!E11</f>
        <v>91.93255</v>
      </c>
      <c r="D7" s="283">
        <f>D6*'Príjmy z prevádzky'!F11</f>
        <v>91.93255</v>
      </c>
      <c r="E7" s="283">
        <f>E6*'Príjmy z prevádzky'!G11</f>
        <v>91.93255</v>
      </c>
      <c r="F7" s="283">
        <f>F6*'Príjmy z prevádzky'!H11</f>
        <v>91.93255</v>
      </c>
      <c r="G7" s="283">
        <f>G6*'Príjmy z prevádzky'!I11</f>
        <v>91.93255</v>
      </c>
      <c r="H7" s="283">
        <f>H6*'Príjmy z prevádzky'!J11</f>
        <v>91.93255</v>
      </c>
      <c r="I7" s="283">
        <f>I6*'Príjmy z prevádzky'!K11</f>
        <v>91.93255</v>
      </c>
      <c r="J7" s="283">
        <f>J6*'Príjmy z prevádzky'!L11</f>
        <v>91.93255</v>
      </c>
      <c r="K7" s="283">
        <f>K6*'Príjmy z prevádzky'!M11</f>
        <v>91.93255</v>
      </c>
      <c r="L7" s="283">
        <f>L6*'Príjmy z prevádzky'!N11</f>
        <v>91.93255</v>
      </c>
      <c r="M7" s="283">
        <f>M6*'Príjmy z prevádzky'!O11</f>
        <v>91.93255</v>
      </c>
      <c r="N7" s="283">
        <f>N6*'Príjmy z prevádzky'!P11</f>
        <v>91.93255</v>
      </c>
      <c r="O7" s="283">
        <f>O6*'Príjmy z prevádzky'!Q11</f>
        <v>91.93255</v>
      </c>
      <c r="P7" s="283">
        <f>P6*'Príjmy z prevádzky'!R11</f>
        <v>91.93255</v>
      </c>
      <c r="Q7" s="283">
        <f>Q6*'Príjmy z prevádzky'!S11</f>
        <v>91.93255</v>
      </c>
      <c r="R7" s="283">
        <f>R6*'Príjmy z prevádzky'!T11</f>
        <v>91.93255</v>
      </c>
      <c r="S7" s="283">
        <f>S6*'Príjmy z prevádzky'!U11</f>
        <v>91.93255</v>
      </c>
      <c r="T7" s="283">
        <f>T6*'Príjmy z prevádzky'!V11</f>
        <v>91.93255</v>
      </c>
      <c r="U7" s="283">
        <f>U6*'Príjmy z prevádzky'!W11</f>
        <v>91.93255</v>
      </c>
      <c r="V7" s="283">
        <f>V6*'Príjmy z prevádzky'!X11</f>
        <v>91.93255</v>
      </c>
      <c r="W7" s="283">
        <f>W6*'Príjmy z prevádzky'!Y11</f>
        <v>91.93255</v>
      </c>
      <c r="X7" s="283">
        <f>X6*'Príjmy z prevádzky'!Z11</f>
        <v>91.93255</v>
      </c>
      <c r="Y7" s="283">
        <f>Y6*'Príjmy z prevádzky'!AA11</f>
        <v>91.93255</v>
      </c>
      <c r="Z7" s="283">
        <f>Z6*'Príjmy z prevádzky'!AB11</f>
        <v>91.93255</v>
      </c>
      <c r="AA7" s="283">
        <f>AA6*'Príjmy z prevádzky'!AC11</f>
        <v>91.93255</v>
      </c>
      <c r="AB7" s="283">
        <f>AB6*'Príjmy z prevádzky'!AD11</f>
        <v>91.93255</v>
      </c>
      <c r="AC7" s="283">
        <f>AC6*'Príjmy z prevádzky'!AE11</f>
        <v>91.93255</v>
      </c>
      <c r="AD7" s="283">
        <f>AD6*'Príjmy z prevádzky'!AF11</f>
        <v>91.93255</v>
      </c>
      <c r="AE7" s="283">
        <f>AE6*'Príjmy z prevádzky'!AG11</f>
        <v>91.93255</v>
      </c>
      <c r="AF7" s="283">
        <f>AF6*'Príjmy z prevádzky'!AH11</f>
        <v>91.93255</v>
      </c>
      <c r="AG7" s="283">
        <f>AG6*'Príjmy z prevádzky'!AI11</f>
        <v>91.93255</v>
      </c>
      <c r="AH7" s="283">
        <f>AH6*'Príjmy z prevádzky'!AJ11</f>
        <v>0</v>
      </c>
      <c r="AI7" s="283">
        <f>AI6*'Príjmy z prevádzky'!AK11</f>
        <v>0</v>
      </c>
      <c r="AJ7" s="283">
        <f>AJ6*'Príjmy z prevádzky'!AL11</f>
        <v>0</v>
      </c>
    </row>
    <row r="8" spans="1:36" ht="12.75">
      <c r="A8" s="77" t="s">
        <v>68</v>
      </c>
      <c r="B8" s="286">
        <f>B7*'Príjmy z prevádzky'!D14/12*1.19</f>
        <v>0</v>
      </c>
      <c r="C8" s="286">
        <f>C7*'Príjmy z prevádzky'!E14/12*1.19</f>
        <v>0</v>
      </c>
      <c r="D8" s="286">
        <f>D7*'Príjmy z prevádzky'!F14/12*1.19</f>
        <v>10.440381329116667</v>
      </c>
      <c r="E8" s="286">
        <f>E7*'Príjmy z prevádzky'!G14/12*1.19</f>
        <v>10.440381329116667</v>
      </c>
      <c r="F8" s="286">
        <f>F7*'Príjmy z prevádzky'!H14/12*1.19</f>
        <v>10.440381329116667</v>
      </c>
      <c r="G8" s="286">
        <f>G7*'Príjmy z prevádzky'!I14/12*1.19</f>
        <v>10.440381329116667</v>
      </c>
      <c r="H8" s="286">
        <f>H7*'Príjmy z prevádzky'!J14/12*1.19</f>
        <v>10.440381329116667</v>
      </c>
      <c r="I8" s="286">
        <f>I7*'Príjmy z prevádzky'!K14/12*1.19</f>
        <v>10.440381329116667</v>
      </c>
      <c r="J8" s="286">
        <f>J7*'Príjmy z prevádzky'!L14/12*1.19</f>
        <v>10.440381329116667</v>
      </c>
      <c r="K8" s="286">
        <f>K7*'Príjmy z prevádzky'!M14/12*1.19</f>
        <v>10.440381329116667</v>
      </c>
      <c r="L8" s="286">
        <f>L7*'Príjmy z prevádzky'!N14/12*1.19</f>
        <v>10.440381329116667</v>
      </c>
      <c r="M8" s="286">
        <f>M7*'Príjmy z prevádzky'!O14/12*1.19</f>
        <v>10.440381329116667</v>
      </c>
      <c r="N8" s="286">
        <f>N7*'Príjmy z prevádzky'!P14/12*1.19</f>
        <v>10.440381329116667</v>
      </c>
      <c r="O8" s="286">
        <f>O7*'Príjmy z prevádzky'!Q14/12*1.19</f>
        <v>10.440381329116667</v>
      </c>
      <c r="P8" s="286">
        <f>P7*'Príjmy z prevádzky'!R14/12*1.19</f>
        <v>10.440381329116667</v>
      </c>
      <c r="Q8" s="286">
        <f>Q7*'Príjmy z prevádzky'!S14/12*1.19</f>
        <v>10.440381329116667</v>
      </c>
      <c r="R8" s="286">
        <f>R7*'Príjmy z prevádzky'!T14/12*1.19</f>
        <v>10.440381329116667</v>
      </c>
      <c r="S8" s="286">
        <f>S7*'Príjmy z prevádzky'!U14/12*1.19</f>
        <v>10.440381329116667</v>
      </c>
      <c r="T8" s="286">
        <f>T7*'Príjmy z prevádzky'!V14/12*1.19</f>
        <v>10.440381329116667</v>
      </c>
      <c r="U8" s="286">
        <f>U7*'Príjmy z prevádzky'!W14/12*1.19</f>
        <v>10.440381329116667</v>
      </c>
      <c r="V8" s="286">
        <f>V7*'Príjmy z prevádzky'!X14/12*1.19</f>
        <v>10.440381329116667</v>
      </c>
      <c r="W8" s="286">
        <f>W7*'Príjmy z prevádzky'!Y14/12*1.19</f>
        <v>10.440381329116667</v>
      </c>
      <c r="X8" s="286">
        <f>X7*'Príjmy z prevádzky'!Z14/12*1.19</f>
        <v>10.440381329116667</v>
      </c>
      <c r="Y8" s="286">
        <f>Y7*'Príjmy z prevádzky'!AA14/12*1.19</f>
        <v>10.440381329116667</v>
      </c>
      <c r="Z8" s="286">
        <f>Z7*'Príjmy z prevádzky'!AB14/12*1.19</f>
        <v>10.440381329116667</v>
      </c>
      <c r="AA8" s="286">
        <f>AA7*'Príjmy z prevádzky'!AC14/12*1.19</f>
        <v>10.440381329116667</v>
      </c>
      <c r="AB8" s="286">
        <f>AB7*'Príjmy z prevádzky'!AD14/12*1.19</f>
        <v>10.440381329116667</v>
      </c>
      <c r="AC8" s="286">
        <f>AC7*'Príjmy z prevádzky'!AE14/12*1.19</f>
        <v>10.440381329116667</v>
      </c>
      <c r="AD8" s="286">
        <f>AD7*'Príjmy z prevádzky'!AF14/12*1.19</f>
        <v>10.440381329116667</v>
      </c>
      <c r="AE8" s="286">
        <f>AE7*'Príjmy z prevádzky'!AG14/12*1.19</f>
        <v>10.440381329116667</v>
      </c>
      <c r="AF8" s="286">
        <f>AF7*'Príjmy z prevádzky'!AH14/12*1.19</f>
        <v>10.440381329116667</v>
      </c>
      <c r="AG8" s="286">
        <f>AG7*'Príjmy z prevádzky'!AI14/12*1.19</f>
        <v>10.440381329116667</v>
      </c>
      <c r="AH8" s="286">
        <f>AH7*'Príjmy z prevádzky'!AJ14/12*1.19</f>
        <v>0</v>
      </c>
      <c r="AI8" s="286">
        <f>AI7*'Príjmy z prevádzky'!AK14/12*1.19</f>
        <v>0</v>
      </c>
      <c r="AJ8" s="286">
        <f>AJ7*'Príjmy z prevádzky'!AL14/12*1.19</f>
        <v>0</v>
      </c>
    </row>
    <row r="9" ht="12.75"/>
    <row r="10" spans="1:36" ht="12.75">
      <c r="A10" s="77" t="s">
        <v>69</v>
      </c>
      <c r="B10" s="285">
        <f>B8/B4</f>
        <v>0</v>
      </c>
      <c r="C10" s="285">
        <f aca="true" t="shared" si="2" ref="C10:AJ10">C8/C4</f>
        <v>0</v>
      </c>
      <c r="D10" s="285">
        <f t="shared" si="2"/>
        <v>0.011528689630208333</v>
      </c>
      <c r="E10" s="285">
        <f t="shared" si="2"/>
        <v>0.011528689630208333</v>
      </c>
      <c r="F10" s="285">
        <f t="shared" si="2"/>
        <v>0.011528689630208333</v>
      </c>
      <c r="G10" s="285">
        <f t="shared" si="2"/>
        <v>0.011528689630208333</v>
      </c>
      <c r="H10" s="285">
        <f t="shared" si="2"/>
        <v>0.011528689630208333</v>
      </c>
      <c r="I10" s="285">
        <f t="shared" si="2"/>
        <v>0.011528689630208333</v>
      </c>
      <c r="J10" s="285">
        <f t="shared" si="2"/>
        <v>0.011528689630208333</v>
      </c>
      <c r="K10" s="285">
        <f t="shared" si="2"/>
        <v>0.011528689630208333</v>
      </c>
      <c r="L10" s="285">
        <f t="shared" si="2"/>
        <v>0.011528689630208333</v>
      </c>
      <c r="M10" s="285">
        <f t="shared" si="2"/>
        <v>0.011528689630208333</v>
      </c>
      <c r="N10" s="285">
        <f t="shared" si="2"/>
        <v>0.011528689630208333</v>
      </c>
      <c r="O10" s="285">
        <f t="shared" si="2"/>
        <v>0.011528689630208333</v>
      </c>
      <c r="P10" s="285">
        <f t="shared" si="2"/>
        <v>0.011528689630208333</v>
      </c>
      <c r="Q10" s="285">
        <f t="shared" si="2"/>
        <v>0.011528689630208333</v>
      </c>
      <c r="R10" s="285">
        <f t="shared" si="2"/>
        <v>0.011528689630208333</v>
      </c>
      <c r="S10" s="285">
        <f t="shared" si="2"/>
        <v>0.011528689630208333</v>
      </c>
      <c r="T10" s="285">
        <f t="shared" si="2"/>
        <v>0.011528689630208333</v>
      </c>
      <c r="U10" s="285">
        <f t="shared" si="2"/>
        <v>0.011528689630208333</v>
      </c>
      <c r="V10" s="285">
        <f t="shared" si="2"/>
        <v>0.011528689630208333</v>
      </c>
      <c r="W10" s="285">
        <f t="shared" si="2"/>
        <v>0.011528689630208333</v>
      </c>
      <c r="X10" s="285">
        <f t="shared" si="2"/>
        <v>0.011528689630208333</v>
      </c>
      <c r="Y10" s="285">
        <f t="shared" si="2"/>
        <v>0.011528689630208333</v>
      </c>
      <c r="Z10" s="285">
        <f t="shared" si="2"/>
        <v>0.011528689630208333</v>
      </c>
      <c r="AA10" s="285">
        <f t="shared" si="2"/>
        <v>0.011528689630208333</v>
      </c>
      <c r="AB10" s="285">
        <f t="shared" si="2"/>
        <v>0.011528689630208333</v>
      </c>
      <c r="AC10" s="285">
        <f t="shared" si="2"/>
        <v>0.011528689630208333</v>
      </c>
      <c r="AD10" s="285">
        <f t="shared" si="2"/>
        <v>0.011528689630208333</v>
      </c>
      <c r="AE10" s="285">
        <f t="shared" si="2"/>
        <v>0.011528689630208333</v>
      </c>
      <c r="AF10" s="285">
        <f t="shared" si="2"/>
        <v>0.011528689630208333</v>
      </c>
      <c r="AG10" s="285">
        <f t="shared" si="2"/>
        <v>0.011528689630208333</v>
      </c>
      <c r="AH10" s="285" t="e">
        <f t="shared" si="2"/>
        <v>#DIV/0!</v>
      </c>
      <c r="AI10" s="285" t="e">
        <f t="shared" si="2"/>
        <v>#DIV/0!</v>
      </c>
      <c r="AJ10" s="285" t="e">
        <f t="shared" si="2"/>
        <v>#DIV/0!</v>
      </c>
    </row>
    <row r="11" ht="12.75"/>
    <row r="12" ht="12.75"/>
    <row r="13"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143</v>
      </c>
    </row>
    <row r="2" s="153" customFormat="1" ht="12.75" hidden="1"/>
    <row r="3" spans="2:10" s="153" customFormat="1" ht="12.75" hidden="1">
      <c r="B3" s="154" t="s">
        <v>128</v>
      </c>
      <c r="C3" s="154" t="s">
        <v>134</v>
      </c>
      <c r="J3" s="153" t="s">
        <v>136</v>
      </c>
    </row>
    <row r="4" spans="2:12" s="153" customFormat="1" ht="12.75" hidden="1">
      <c r="B4" s="155">
        <f>SUM('Peňažné toky projektu'!B42:AJ42)</f>
        <v>4979.09</v>
      </c>
      <c r="C4" s="154" t="b">
        <f>AND(B4&lt;&gt;0)</f>
        <v>1</v>
      </c>
      <c r="J4" s="154" t="b">
        <f>AND(COUNTIF(F20:AK20,"&lt;0")&lt;=0)</f>
        <v>1</v>
      </c>
      <c r="L4" s="153" t="s">
        <v>135</v>
      </c>
    </row>
    <row r="5" spans="2:3" s="153" customFormat="1" ht="12.75" hidden="1">
      <c r="B5" s="154"/>
      <c r="C5" s="154"/>
    </row>
    <row r="6" spans="2:10" s="153" customFormat="1" ht="12.75" hidden="1">
      <c r="B6" s="154" t="s">
        <v>116</v>
      </c>
      <c r="C6" s="154" t="s">
        <v>133</v>
      </c>
      <c r="J6" s="153" t="s">
        <v>138</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129</v>
      </c>
      <c r="C9" s="154" t="s">
        <v>132</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130</v>
      </c>
      <c r="C12" s="156" t="s">
        <v>240</v>
      </c>
      <c r="D12" s="156"/>
      <c r="E12" s="156"/>
      <c r="F12" s="156"/>
    </row>
    <row r="13" spans="2:6" s="153" customFormat="1" ht="12.75" hidden="1">
      <c r="B13" s="168">
        <f>CelkoveOpravneneVydavky-NFP</f>
        <v>242449.3306478525</v>
      </c>
      <c r="C13" s="156" t="b">
        <f>AND(B7&gt;=B13)</f>
        <v>0</v>
      </c>
      <c r="D13" s="157"/>
      <c r="E13" s="157"/>
      <c r="F13" s="157"/>
    </row>
    <row r="14" s="153" customFormat="1" ht="12.75" hidden="1"/>
    <row r="15" s="153" customFormat="1" ht="12.75" hidden="1"/>
    <row r="16" spans="2:37" s="153" customFormat="1" ht="12.75" hidden="1">
      <c r="B16" s="153" t="s">
        <v>137</v>
      </c>
      <c r="C16" s="158">
        <f>'Peňažné toky projektu'!$B$14</f>
        <v>2014</v>
      </c>
      <c r="D16" s="158">
        <f>C16+1</f>
        <v>2015</v>
      </c>
      <c r="E16" s="158">
        <f aca="true" t="shared" si="0" ref="E16:AK16">D16+1</f>
        <v>2016</v>
      </c>
      <c r="F16" s="158">
        <f t="shared" si="0"/>
        <v>2017</v>
      </c>
      <c r="G16" s="158">
        <f t="shared" si="0"/>
        <v>2018</v>
      </c>
      <c r="H16" s="158">
        <f t="shared" si="0"/>
        <v>2019</v>
      </c>
      <c r="I16" s="158">
        <f t="shared" si="0"/>
        <v>2020</v>
      </c>
      <c r="J16" s="158">
        <f t="shared" si="0"/>
        <v>2021</v>
      </c>
      <c r="K16" s="158">
        <f t="shared" si="0"/>
        <v>2022</v>
      </c>
      <c r="L16" s="158">
        <f t="shared" si="0"/>
        <v>2023</v>
      </c>
      <c r="M16" s="158">
        <f t="shared" si="0"/>
        <v>2024</v>
      </c>
      <c r="N16" s="158">
        <f t="shared" si="0"/>
        <v>2025</v>
      </c>
      <c r="O16" s="158">
        <f t="shared" si="0"/>
        <v>2026</v>
      </c>
      <c r="P16" s="158">
        <f t="shared" si="0"/>
        <v>2027</v>
      </c>
      <c r="Q16" s="158">
        <f t="shared" si="0"/>
        <v>2028</v>
      </c>
      <c r="R16" s="158">
        <f t="shared" si="0"/>
        <v>2029</v>
      </c>
      <c r="S16" s="158">
        <f t="shared" si="0"/>
        <v>2030</v>
      </c>
      <c r="T16" s="158">
        <f t="shared" si="0"/>
        <v>2031</v>
      </c>
      <c r="U16" s="158">
        <f t="shared" si="0"/>
        <v>2032</v>
      </c>
      <c r="V16" s="158">
        <f t="shared" si="0"/>
        <v>2033</v>
      </c>
      <c r="W16" s="158">
        <f t="shared" si="0"/>
        <v>2034</v>
      </c>
      <c r="X16" s="158">
        <f t="shared" si="0"/>
        <v>2035</v>
      </c>
      <c r="Y16" s="158">
        <f t="shared" si="0"/>
        <v>2036</v>
      </c>
      <c r="Z16" s="158">
        <f t="shared" si="0"/>
        <v>2037</v>
      </c>
      <c r="AA16" s="158">
        <f t="shared" si="0"/>
        <v>2038</v>
      </c>
      <c r="AB16" s="158">
        <f t="shared" si="0"/>
        <v>2039</v>
      </c>
      <c r="AC16" s="158">
        <f t="shared" si="0"/>
        <v>2040</v>
      </c>
      <c r="AD16" s="158">
        <f t="shared" si="0"/>
        <v>2041</v>
      </c>
      <c r="AE16" s="158">
        <f t="shared" si="0"/>
        <v>2042</v>
      </c>
      <c r="AF16" s="158">
        <f t="shared" si="0"/>
        <v>2043</v>
      </c>
      <c r="AG16" s="158">
        <f t="shared" si="0"/>
        <v>2044</v>
      </c>
      <c r="AH16" s="158">
        <f t="shared" si="0"/>
        <v>2045</v>
      </c>
      <c r="AI16" s="158">
        <f t="shared" si="0"/>
        <v>2046</v>
      </c>
      <c r="AJ16" s="158">
        <f t="shared" si="0"/>
        <v>2047</v>
      </c>
      <c r="AK16" s="158">
        <f t="shared" si="0"/>
        <v>2048</v>
      </c>
    </row>
    <row r="17" spans="2:37" s="153" customFormat="1" ht="12.75" hidden="1">
      <c r="B17" s="70" t="s">
        <v>91</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32504.60393842745</v>
      </c>
      <c r="AJ17" s="94">
        <f>'Peňažné toky projektu'!AI18</f>
        <v>0</v>
      </c>
      <c r="AK17" s="94">
        <f>'Peňažné toky projektu'!AJ18</f>
        <v>0</v>
      </c>
    </row>
    <row r="18" spans="2:37" s="153" customFormat="1" ht="12.75" hidden="1">
      <c r="B18" s="70" t="s">
        <v>92</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18999.72400104624</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131</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13504.87993738121</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0</v>
      </c>
      <c r="AJ21" s="73">
        <f t="shared" si="2"/>
        <v>-1</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0</v>
      </c>
      <c r="AJ22" s="73">
        <f t="shared" si="3"/>
        <v>-1</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45736.55100616331</v>
      </c>
      <c r="R24" s="151">
        <f>'Peňažné toky projektu'!Q32</f>
        <v>57927.63942906914</v>
      </c>
      <c r="S24" s="151">
        <f>'Peňažné toky projektu'!R32</f>
        <v>20484.521489913823</v>
      </c>
      <c r="T24" s="151">
        <f>'Peňažné toky projektu'!S32</f>
        <v>32832.28355075851</v>
      </c>
      <c r="U24" s="151">
        <f>'Peňažné toky projektu'!T32</f>
        <v>45180.0456116032</v>
      </c>
      <c r="V24" s="151">
        <f>'Peňažné toky projektu'!U32</f>
        <v>57527.80767244789</v>
      </c>
      <c r="W24" s="151">
        <f>'Peňažné toky projektu'!V32</f>
        <v>69875.56973329258</v>
      </c>
      <c r="X24" s="151">
        <f>'Peňažné toky projektu'!W32</f>
        <v>82223.33179413727</v>
      </c>
      <c r="Y24" s="151">
        <f>'Peňažné toky projektu'!X32</f>
        <v>93599.71733752059</v>
      </c>
      <c r="Z24" s="151">
        <f>'Peňažné toky projektu'!Y32</f>
        <v>104695.34372473824</v>
      </c>
      <c r="AA24" s="151">
        <f>'Peňažné toky projektu'!Z32</f>
        <v>115790.97011195589</v>
      </c>
      <c r="AB24" s="151">
        <f>'Peňažné toky projektu'!AA32</f>
        <v>126886.59649917354</v>
      </c>
      <c r="AC24" s="151">
        <f>'Peňažné toky projektu'!AB32</f>
        <v>137982.2228863912</v>
      </c>
      <c r="AD24" s="151">
        <f>'Peňažné toky projektu'!AC32</f>
        <v>149077.84927360882</v>
      </c>
      <c r="AE24" s="151">
        <f>'Peňažné toky projektu'!AD32</f>
        <v>160016.8020228876</v>
      </c>
      <c r="AF24" s="151">
        <f>'Peňažné toky projektu'!AE32</f>
        <v>170955.75477216637</v>
      </c>
      <c r="AG24" s="151">
        <f>'Peňažné toky projektu'!AF32</f>
        <v>181894.70752144515</v>
      </c>
      <c r="AH24" s="151">
        <f>'Peňažné toky projektu'!AG32</f>
        <v>192833.66027072392</v>
      </c>
      <c r="AI24" s="151">
        <f>'Peňažné toky projektu'!AH32</f>
        <v>203772.6130200027</v>
      </c>
      <c r="AJ24" s="151">
        <f>'Peňažné toky projektu'!AI32</f>
        <v>201206.68583190028</v>
      </c>
      <c r="AK24" s="151">
        <f>'Peňažné toky projektu'!AJ32</f>
        <v>201206.68583190028</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154</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152</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153</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145</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139</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140</v>
      </c>
      <c r="C38" s="163"/>
      <c r="D38" s="163"/>
      <c r="E38" s="163"/>
      <c r="F38" s="163"/>
      <c r="G38" s="163"/>
      <c r="H38" s="163"/>
      <c r="I38" s="163"/>
      <c r="J38" s="163"/>
      <c r="K38" s="163"/>
      <c r="L38" s="163"/>
      <c r="M38" s="163"/>
    </row>
    <row r="39" spans="1:13" ht="12.75">
      <c r="A39" s="162"/>
      <c r="B39" s="163" t="s">
        <v>142</v>
      </c>
      <c r="C39" s="163"/>
      <c r="D39" s="163"/>
      <c r="E39" s="163"/>
      <c r="F39" s="163"/>
      <c r="G39" s="163"/>
      <c r="H39" s="163"/>
      <c r="I39" s="163"/>
      <c r="J39" s="163"/>
      <c r="K39" s="163"/>
      <c r="L39" s="163"/>
      <c r="M39" s="163"/>
    </row>
    <row r="40" spans="1:13" ht="12.75">
      <c r="A40" s="162"/>
      <c r="B40" s="164" t="s">
        <v>141</v>
      </c>
      <c r="C40" s="163"/>
      <c r="D40" s="163"/>
      <c r="E40" s="163"/>
      <c r="F40" s="163"/>
      <c r="G40" s="163"/>
      <c r="H40" s="163"/>
      <c r="I40" s="163"/>
      <c r="J40" s="163"/>
      <c r="K40" s="163"/>
      <c r="L40" s="163"/>
      <c r="M40" s="163"/>
    </row>
    <row r="41" spans="1:13" ht="12.75">
      <c r="A41" s="162"/>
      <c r="B41" s="163" t="s">
        <v>144</v>
      </c>
      <c r="C41" s="163"/>
      <c r="D41" s="163"/>
      <c r="E41" s="163"/>
      <c r="F41" s="163"/>
      <c r="G41" s="163"/>
      <c r="H41" s="163"/>
      <c r="I41" s="163"/>
      <c r="J41" s="163"/>
      <c r="K41" s="163"/>
      <c r="L41" s="163"/>
      <c r="M41" s="163"/>
    </row>
    <row r="42" spans="1:13" ht="12.75">
      <c r="A42" s="162"/>
      <c r="B42" s="164" t="s">
        <v>147</v>
      </c>
      <c r="C42" s="163"/>
      <c r="D42" s="163"/>
      <c r="E42" s="163"/>
      <c r="F42" s="163"/>
      <c r="G42" s="163"/>
      <c r="H42" s="163"/>
      <c r="I42" s="163"/>
      <c r="J42" s="163"/>
      <c r="K42" s="163"/>
      <c r="L42" s="163"/>
      <c r="M42" s="163"/>
    </row>
    <row r="43" spans="1:13" ht="12.75">
      <c r="A43" s="162"/>
      <c r="B43" s="164" t="s">
        <v>148</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5" t="s">
        <v>149</v>
      </c>
      <c r="C45" s="375"/>
      <c r="D45" s="375"/>
      <c r="E45" s="375"/>
      <c r="F45" s="375"/>
      <c r="G45" s="375"/>
      <c r="H45" s="375"/>
      <c r="I45" s="375"/>
      <c r="J45" s="375"/>
      <c r="K45" s="375"/>
      <c r="L45" s="375"/>
      <c r="M45" s="163"/>
    </row>
    <row r="46" spans="1:13" ht="12.75">
      <c r="A46" s="162"/>
      <c r="B46" s="164"/>
      <c r="C46" s="163"/>
      <c r="D46" s="163"/>
      <c r="E46" s="163"/>
      <c r="F46" s="163"/>
      <c r="G46" s="163"/>
      <c r="H46" s="163"/>
      <c r="I46" s="163"/>
      <c r="J46" s="163"/>
      <c r="K46" s="163"/>
      <c r="L46" s="163"/>
      <c r="M46" s="163"/>
    </row>
    <row r="47" ht="12.75"/>
    <row r="48" ht="12.75"/>
    <row r="49" ht="13.5" thickBot="1">
      <c r="B49" s="169" t="s">
        <v>146</v>
      </c>
    </row>
    <row r="50" spans="2:13" s="166" customFormat="1" ht="33" customHeight="1" thickTop="1">
      <c r="B50" s="376">
        <f>IF(C4,"",B27)</f>
      </c>
      <c r="C50" s="377"/>
      <c r="D50" s="377"/>
      <c r="E50" s="377"/>
      <c r="F50" s="377"/>
      <c r="G50" s="377"/>
      <c r="H50" s="377"/>
      <c r="I50" s="377"/>
      <c r="J50" s="377"/>
      <c r="K50" s="377"/>
      <c r="L50" s="377"/>
      <c r="M50" s="378"/>
    </row>
    <row r="51" spans="2:13" s="166" customFormat="1" ht="45" customHeight="1">
      <c r="B51" s="379">
        <f>IF(C10,"",B28)</f>
      </c>
      <c r="C51" s="380"/>
      <c r="D51" s="380"/>
      <c r="E51" s="380"/>
      <c r="F51" s="380"/>
      <c r="G51" s="380"/>
      <c r="H51" s="380"/>
      <c r="I51" s="380"/>
      <c r="J51" s="380"/>
      <c r="K51" s="380"/>
      <c r="L51" s="380"/>
      <c r="M51" s="381"/>
    </row>
    <row r="52" spans="2:13" s="166" customFormat="1" ht="44.25" customHeight="1">
      <c r="B52" s="379"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80"/>
      <c r="D52" s="380"/>
      <c r="E52" s="380"/>
      <c r="F52" s="380"/>
      <c r="G52" s="380"/>
      <c r="H52" s="380"/>
      <c r="I52" s="380"/>
      <c r="J52" s="380"/>
      <c r="K52" s="380"/>
      <c r="L52" s="380"/>
      <c r="M52" s="381"/>
    </row>
    <row r="53" spans="2:13" s="166" customFormat="1" ht="38.25" customHeight="1">
      <c r="B53" s="379">
        <f>IF(J4,"",B30)</f>
      </c>
      <c r="C53" s="380"/>
      <c r="D53" s="380"/>
      <c r="E53" s="380"/>
      <c r="F53" s="380"/>
      <c r="G53" s="380"/>
      <c r="H53" s="380"/>
      <c r="I53" s="380"/>
      <c r="J53" s="380"/>
      <c r="K53" s="380"/>
      <c r="L53" s="380"/>
      <c r="M53" s="381"/>
    </row>
    <row r="54" spans="2:13" s="166" customFormat="1" ht="27.75" customHeight="1">
      <c r="B54" s="379"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80"/>
      <c r="D54" s="380"/>
      <c r="E54" s="380"/>
      <c r="F54" s="380"/>
      <c r="G54" s="380"/>
      <c r="H54" s="380"/>
      <c r="I54" s="380"/>
      <c r="J54" s="380"/>
      <c r="K54" s="380"/>
      <c r="L54" s="380"/>
      <c r="M54" s="381"/>
    </row>
    <row r="55" spans="2:13" ht="20.25" customHeight="1" thickBot="1">
      <c r="B55" s="372">
        <f>IF(COUNTIF(B50:B54,"")=5,B32,"")</f>
      </c>
      <c r="C55" s="373"/>
      <c r="D55" s="373"/>
      <c r="E55" s="373"/>
      <c r="F55" s="373"/>
      <c r="G55" s="373"/>
      <c r="H55" s="373"/>
      <c r="I55" s="373"/>
      <c r="J55" s="373"/>
      <c r="K55" s="373"/>
      <c r="L55" s="373"/>
      <c r="M55" s="37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2014</v>
      </c>
      <c r="E2" s="29">
        <f>D2+1</f>
        <v>2015</v>
      </c>
      <c r="F2" s="29">
        <f aca="true" t="shared" si="0" ref="F2:AL2">E2+1</f>
        <v>2016</v>
      </c>
      <c r="G2" s="29">
        <f t="shared" si="0"/>
        <v>2017</v>
      </c>
      <c r="H2" s="29">
        <f t="shared" si="0"/>
        <v>2018</v>
      </c>
      <c r="I2" s="29">
        <f t="shared" si="0"/>
        <v>2019</v>
      </c>
      <c r="J2" s="29">
        <f t="shared" si="0"/>
        <v>2020</v>
      </c>
      <c r="K2" s="29">
        <f t="shared" si="0"/>
        <v>2021</v>
      </c>
      <c r="L2" s="29">
        <f t="shared" si="0"/>
        <v>2022</v>
      </c>
      <c r="M2" s="29">
        <f t="shared" si="0"/>
        <v>2023</v>
      </c>
      <c r="N2" s="29">
        <f t="shared" si="0"/>
        <v>2024</v>
      </c>
      <c r="O2" s="29">
        <f t="shared" si="0"/>
        <v>2025</v>
      </c>
      <c r="P2" s="29">
        <f t="shared" si="0"/>
        <v>2026</v>
      </c>
      <c r="Q2" s="29">
        <f t="shared" si="0"/>
        <v>2027</v>
      </c>
      <c r="R2" s="29">
        <f t="shared" si="0"/>
        <v>2028</v>
      </c>
      <c r="S2" s="29">
        <f t="shared" si="0"/>
        <v>2029</v>
      </c>
      <c r="T2" s="29">
        <f t="shared" si="0"/>
        <v>2030</v>
      </c>
      <c r="U2" s="29">
        <f t="shared" si="0"/>
        <v>2031</v>
      </c>
      <c r="V2" s="29">
        <f t="shared" si="0"/>
        <v>2032</v>
      </c>
      <c r="W2" s="29">
        <f t="shared" si="0"/>
        <v>2033</v>
      </c>
      <c r="X2" s="29">
        <f t="shared" si="0"/>
        <v>2034</v>
      </c>
      <c r="Y2" s="29">
        <f t="shared" si="0"/>
        <v>2035</v>
      </c>
      <c r="Z2" s="29">
        <f t="shared" si="0"/>
        <v>2036</v>
      </c>
      <c r="AA2" s="29">
        <f t="shared" si="0"/>
        <v>2037</v>
      </c>
      <c r="AB2" s="29">
        <f t="shared" si="0"/>
        <v>2038</v>
      </c>
      <c r="AC2" s="29">
        <f t="shared" si="0"/>
        <v>2039</v>
      </c>
      <c r="AD2" s="29">
        <f t="shared" si="0"/>
        <v>2040</v>
      </c>
      <c r="AE2" s="29">
        <f t="shared" si="0"/>
        <v>2041</v>
      </c>
      <c r="AF2" s="29">
        <f t="shared" si="0"/>
        <v>2042</v>
      </c>
      <c r="AG2" s="29">
        <f t="shared" si="0"/>
        <v>2043</v>
      </c>
      <c r="AH2" s="29">
        <f t="shared" si="0"/>
        <v>2044</v>
      </c>
      <c r="AI2" s="29">
        <f t="shared" si="0"/>
        <v>2045</v>
      </c>
      <c r="AJ2" s="29">
        <f t="shared" si="0"/>
        <v>2046</v>
      </c>
      <c r="AK2" s="29">
        <f t="shared" si="0"/>
        <v>2047</v>
      </c>
      <c r="AL2" s="29">
        <f t="shared" si="0"/>
        <v>2048</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2014</v>
      </c>
      <c r="E2" s="29">
        <f>D2+1</f>
        <v>2015</v>
      </c>
      <c r="F2" s="29">
        <f aca="true" t="shared" si="0" ref="F2:AL2">E2+1</f>
        <v>2016</v>
      </c>
      <c r="G2" s="29">
        <f t="shared" si="0"/>
        <v>2017</v>
      </c>
      <c r="H2" s="29">
        <f t="shared" si="0"/>
        <v>2018</v>
      </c>
      <c r="I2" s="29">
        <f t="shared" si="0"/>
        <v>2019</v>
      </c>
      <c r="J2" s="29">
        <f t="shared" si="0"/>
        <v>2020</v>
      </c>
      <c r="K2" s="29">
        <f t="shared" si="0"/>
        <v>2021</v>
      </c>
      <c r="L2" s="29">
        <f t="shared" si="0"/>
        <v>2022</v>
      </c>
      <c r="M2" s="29">
        <f t="shared" si="0"/>
        <v>2023</v>
      </c>
      <c r="N2" s="29">
        <f t="shared" si="0"/>
        <v>2024</v>
      </c>
      <c r="O2" s="29">
        <f t="shared" si="0"/>
        <v>2025</v>
      </c>
      <c r="P2" s="29">
        <f t="shared" si="0"/>
        <v>2026</v>
      </c>
      <c r="Q2" s="29">
        <f t="shared" si="0"/>
        <v>2027</v>
      </c>
      <c r="R2" s="29">
        <f t="shared" si="0"/>
        <v>2028</v>
      </c>
      <c r="S2" s="29">
        <f t="shared" si="0"/>
        <v>2029</v>
      </c>
      <c r="T2" s="29">
        <f t="shared" si="0"/>
        <v>2030</v>
      </c>
      <c r="U2" s="29">
        <f t="shared" si="0"/>
        <v>2031</v>
      </c>
      <c r="V2" s="29">
        <f t="shared" si="0"/>
        <v>2032</v>
      </c>
      <c r="W2" s="29">
        <f t="shared" si="0"/>
        <v>2033</v>
      </c>
      <c r="X2" s="29">
        <f t="shared" si="0"/>
        <v>2034</v>
      </c>
      <c r="Y2" s="29">
        <f t="shared" si="0"/>
        <v>2035</v>
      </c>
      <c r="Z2" s="29">
        <f t="shared" si="0"/>
        <v>2036</v>
      </c>
      <c r="AA2" s="29">
        <f t="shared" si="0"/>
        <v>2037</v>
      </c>
      <c r="AB2" s="29">
        <f t="shared" si="0"/>
        <v>2038</v>
      </c>
      <c r="AC2" s="29">
        <f t="shared" si="0"/>
        <v>2039</v>
      </c>
      <c r="AD2" s="29">
        <f t="shared" si="0"/>
        <v>2040</v>
      </c>
      <c r="AE2" s="29">
        <f t="shared" si="0"/>
        <v>2041</v>
      </c>
      <c r="AF2" s="29">
        <f t="shared" si="0"/>
        <v>2042</v>
      </c>
      <c r="AG2" s="29">
        <f t="shared" si="0"/>
        <v>2043</v>
      </c>
      <c r="AH2" s="29">
        <f t="shared" si="0"/>
        <v>2044</v>
      </c>
      <c r="AI2" s="29">
        <f t="shared" si="0"/>
        <v>2045</v>
      </c>
      <c r="AJ2" s="29">
        <f t="shared" si="0"/>
        <v>2046</v>
      </c>
      <c r="AK2" s="29">
        <f t="shared" si="0"/>
        <v>2047</v>
      </c>
      <c r="AL2" s="29">
        <f t="shared" si="0"/>
        <v>2048</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2014</v>
      </c>
      <c r="E18" s="29">
        <f>D18+1</f>
        <v>2015</v>
      </c>
      <c r="F18" s="29">
        <f aca="true" t="shared" si="5" ref="F18:AL18">E18+1</f>
        <v>2016</v>
      </c>
      <c r="G18" s="29">
        <f t="shared" si="5"/>
        <v>2017</v>
      </c>
      <c r="H18" s="29">
        <f t="shared" si="5"/>
        <v>2018</v>
      </c>
      <c r="I18" s="29">
        <f t="shared" si="5"/>
        <v>2019</v>
      </c>
      <c r="J18" s="29">
        <f t="shared" si="5"/>
        <v>2020</v>
      </c>
      <c r="K18" s="29">
        <f t="shared" si="5"/>
        <v>2021</v>
      </c>
      <c r="L18" s="29">
        <f t="shared" si="5"/>
        <v>2022</v>
      </c>
      <c r="M18" s="29">
        <f t="shared" si="5"/>
        <v>2023</v>
      </c>
      <c r="N18" s="29">
        <f t="shared" si="5"/>
        <v>2024</v>
      </c>
      <c r="O18" s="29">
        <f t="shared" si="5"/>
        <v>2025</v>
      </c>
      <c r="P18" s="29">
        <f t="shared" si="5"/>
        <v>2026</v>
      </c>
      <c r="Q18" s="29">
        <f t="shared" si="5"/>
        <v>2027</v>
      </c>
      <c r="R18" s="29">
        <f t="shared" si="5"/>
        <v>2028</v>
      </c>
      <c r="S18" s="29">
        <f t="shared" si="5"/>
        <v>2029</v>
      </c>
      <c r="T18" s="29">
        <f t="shared" si="5"/>
        <v>2030</v>
      </c>
      <c r="U18" s="29">
        <f t="shared" si="5"/>
        <v>2031</v>
      </c>
      <c r="V18" s="29">
        <f t="shared" si="5"/>
        <v>2032</v>
      </c>
      <c r="W18" s="29">
        <f t="shared" si="5"/>
        <v>2033</v>
      </c>
      <c r="X18" s="29">
        <f t="shared" si="5"/>
        <v>2034</v>
      </c>
      <c r="Y18" s="29">
        <f t="shared" si="5"/>
        <v>2035</v>
      </c>
      <c r="Z18" s="29">
        <f t="shared" si="5"/>
        <v>2036</v>
      </c>
      <c r="AA18" s="29">
        <f t="shared" si="5"/>
        <v>2037</v>
      </c>
      <c r="AB18" s="29">
        <f t="shared" si="5"/>
        <v>2038</v>
      </c>
      <c r="AC18" s="29">
        <f t="shared" si="5"/>
        <v>2039</v>
      </c>
      <c r="AD18" s="29">
        <f t="shared" si="5"/>
        <v>2040</v>
      </c>
      <c r="AE18" s="29">
        <f t="shared" si="5"/>
        <v>2041</v>
      </c>
      <c r="AF18" s="29">
        <f t="shared" si="5"/>
        <v>2042</v>
      </c>
      <c r="AG18" s="29">
        <f t="shared" si="5"/>
        <v>2043</v>
      </c>
      <c r="AH18" s="29">
        <f t="shared" si="5"/>
        <v>2044</v>
      </c>
      <c r="AI18" s="29">
        <f t="shared" si="5"/>
        <v>2045</v>
      </c>
      <c r="AJ18" s="29">
        <f t="shared" si="5"/>
        <v>2046</v>
      </c>
      <c r="AK18" s="29">
        <f t="shared" si="5"/>
        <v>2047</v>
      </c>
      <c r="AL18" s="29">
        <f t="shared" si="5"/>
        <v>2048</v>
      </c>
    </row>
    <row r="19" spans="1:15" ht="12.75" outlineLevel="1">
      <c r="A19" s="35"/>
      <c r="C19" s="32">
        <f>D18</f>
        <v>2014</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2015</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2016</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2017</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2018</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2019</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2020</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2021</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2022</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2023</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2024</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2025</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2026</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2027</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2028</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2029</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2030</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2031</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2032</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2033</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2034</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2035</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2036</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2037</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2038</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2039</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2040</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2041</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2042</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2043</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2044</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2045</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2046</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2047</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2048</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2014</v>
      </c>
      <c r="E57" s="29">
        <f>D57+1</f>
        <v>2015</v>
      </c>
      <c r="F57" s="29">
        <f aca="true" t="shared" si="8" ref="F57:AL57">E57+1</f>
        <v>2016</v>
      </c>
      <c r="G57" s="29">
        <f t="shared" si="8"/>
        <v>2017</v>
      </c>
      <c r="H57" s="29">
        <f t="shared" si="8"/>
        <v>2018</v>
      </c>
      <c r="I57" s="29">
        <f t="shared" si="8"/>
        <v>2019</v>
      </c>
      <c r="J57" s="29">
        <f t="shared" si="8"/>
        <v>2020</v>
      </c>
      <c r="K57" s="29">
        <f t="shared" si="8"/>
        <v>2021</v>
      </c>
      <c r="L57" s="29">
        <f t="shared" si="8"/>
        <v>2022</v>
      </c>
      <c r="M57" s="29">
        <f t="shared" si="8"/>
        <v>2023</v>
      </c>
      <c r="N57" s="29">
        <f t="shared" si="8"/>
        <v>2024</v>
      </c>
      <c r="O57" s="29">
        <f t="shared" si="8"/>
        <v>2025</v>
      </c>
      <c r="P57" s="29">
        <f t="shared" si="8"/>
        <v>2026</v>
      </c>
      <c r="Q57" s="29">
        <f t="shared" si="8"/>
        <v>2027</v>
      </c>
      <c r="R57" s="29">
        <f t="shared" si="8"/>
        <v>2028</v>
      </c>
      <c r="S57" s="29">
        <f t="shared" si="8"/>
        <v>2029</v>
      </c>
      <c r="T57" s="29">
        <f t="shared" si="8"/>
        <v>2030</v>
      </c>
      <c r="U57" s="29">
        <f t="shared" si="8"/>
        <v>2031</v>
      </c>
      <c r="V57" s="29">
        <f t="shared" si="8"/>
        <v>2032</v>
      </c>
      <c r="W57" s="29">
        <f t="shared" si="8"/>
        <v>2033</v>
      </c>
      <c r="X57" s="29">
        <f t="shared" si="8"/>
        <v>2034</v>
      </c>
      <c r="Y57" s="29">
        <f t="shared" si="8"/>
        <v>2035</v>
      </c>
      <c r="Z57" s="29">
        <f t="shared" si="8"/>
        <v>2036</v>
      </c>
      <c r="AA57" s="29">
        <f t="shared" si="8"/>
        <v>2037</v>
      </c>
      <c r="AB57" s="29">
        <f t="shared" si="8"/>
        <v>2038</v>
      </c>
      <c r="AC57" s="29">
        <f t="shared" si="8"/>
        <v>2039</v>
      </c>
      <c r="AD57" s="29">
        <f t="shared" si="8"/>
        <v>2040</v>
      </c>
      <c r="AE57" s="29">
        <f t="shared" si="8"/>
        <v>2041</v>
      </c>
      <c r="AF57" s="29">
        <f t="shared" si="8"/>
        <v>2042</v>
      </c>
      <c r="AG57" s="29">
        <f t="shared" si="8"/>
        <v>2043</v>
      </c>
      <c r="AH57" s="29">
        <f t="shared" si="8"/>
        <v>2044</v>
      </c>
      <c r="AI57" s="29">
        <f t="shared" si="8"/>
        <v>2045</v>
      </c>
      <c r="AJ57" s="29">
        <f t="shared" si="8"/>
        <v>2046</v>
      </c>
      <c r="AK57" s="29">
        <f t="shared" si="8"/>
        <v>2047</v>
      </c>
      <c r="AL57" s="29">
        <f t="shared" si="8"/>
        <v>2048</v>
      </c>
    </row>
    <row r="58" spans="1:15" ht="12.75" outlineLevel="1">
      <c r="A58" s="35"/>
      <c r="C58" s="32">
        <f>D57</f>
        <v>2014</v>
      </c>
      <c r="D58" s="23">
        <f>D$3-D19</f>
        <v>0</v>
      </c>
      <c r="E58" s="23">
        <f>D58-E19</f>
        <v>0</v>
      </c>
      <c r="F58" s="23">
        <f>E58-F19</f>
        <v>0</v>
      </c>
      <c r="G58" s="23">
        <f>F58-G19</f>
        <v>0</v>
      </c>
      <c r="H58" s="23"/>
      <c r="I58" s="23"/>
      <c r="J58" s="23"/>
      <c r="K58" s="23"/>
      <c r="L58" s="23"/>
      <c r="M58" s="23"/>
      <c r="N58" s="23"/>
      <c r="O58" s="23"/>
    </row>
    <row r="59" spans="1:15" ht="12.75" outlineLevel="1">
      <c r="A59" s="35"/>
      <c r="C59" s="32">
        <f>C58+1</f>
        <v>2015</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2016</v>
      </c>
      <c r="D60" s="23"/>
      <c r="E60" s="23"/>
      <c r="F60" s="23">
        <f>F$3-F21</f>
        <v>0</v>
      </c>
      <c r="G60" s="23">
        <f>F60-G21</f>
        <v>0</v>
      </c>
      <c r="H60" s="23">
        <f>G60-H21</f>
        <v>0</v>
      </c>
      <c r="I60" s="23">
        <f>H60-I21</f>
        <v>0</v>
      </c>
      <c r="J60" s="23"/>
      <c r="K60" s="23"/>
      <c r="L60" s="23"/>
      <c r="M60" s="23"/>
      <c r="N60" s="23"/>
      <c r="O60" s="23"/>
    </row>
    <row r="61" spans="1:15" ht="12.75" outlineLevel="1">
      <c r="A61" s="35"/>
      <c r="C61" s="32">
        <f t="shared" si="9"/>
        <v>2017</v>
      </c>
      <c r="D61" s="23"/>
      <c r="E61" s="23"/>
      <c r="F61" s="23"/>
      <c r="G61" s="23">
        <f>G$3-G22</f>
        <v>0</v>
      </c>
      <c r="H61" s="23">
        <f>G61-H22</f>
        <v>0</v>
      </c>
      <c r="I61" s="23">
        <f>H61-I22</f>
        <v>0</v>
      </c>
      <c r="J61" s="23">
        <f>I61-J22</f>
        <v>0</v>
      </c>
      <c r="K61" s="23"/>
      <c r="L61" s="23"/>
      <c r="M61" s="23"/>
      <c r="N61" s="23"/>
      <c r="O61" s="23"/>
    </row>
    <row r="62" spans="1:15" ht="12.75" outlineLevel="1">
      <c r="A62" s="35"/>
      <c r="C62" s="32">
        <f t="shared" si="9"/>
        <v>2018</v>
      </c>
      <c r="D62" s="23"/>
      <c r="E62" s="23"/>
      <c r="F62" s="23"/>
      <c r="G62" s="23"/>
      <c r="H62" s="23">
        <f>H$3-H23</f>
        <v>0</v>
      </c>
      <c r="I62" s="23">
        <f>H62-I23</f>
        <v>0</v>
      </c>
      <c r="J62" s="23">
        <f>I62-J23</f>
        <v>0</v>
      </c>
      <c r="K62" s="23">
        <f>J62-K23</f>
        <v>0</v>
      </c>
      <c r="L62" s="23"/>
      <c r="M62" s="23"/>
      <c r="N62" s="23"/>
      <c r="O62" s="23"/>
    </row>
    <row r="63" spans="1:14" ht="12.75" outlineLevel="1">
      <c r="A63" s="35"/>
      <c r="C63" s="32">
        <f t="shared" si="9"/>
        <v>2019</v>
      </c>
      <c r="I63" s="23">
        <f>I$3-I24</f>
        <v>0</v>
      </c>
      <c r="J63" s="23">
        <f>I63-J24</f>
        <v>0</v>
      </c>
      <c r="K63" s="23">
        <f>J63-K24</f>
        <v>0</v>
      </c>
      <c r="L63" s="23">
        <f>K63-L24</f>
        <v>0</v>
      </c>
      <c r="M63" s="23"/>
      <c r="N63" s="23"/>
    </row>
    <row r="64" spans="1:15" ht="12.75" outlineLevel="1">
      <c r="A64" s="35"/>
      <c r="C64" s="32">
        <f t="shared" si="9"/>
        <v>2020</v>
      </c>
      <c r="J64" s="23">
        <f>J$3-J25</f>
        <v>0</v>
      </c>
      <c r="K64" s="23">
        <f>J64-K25</f>
        <v>0</v>
      </c>
      <c r="L64" s="23">
        <f>K64-L25</f>
        <v>0</v>
      </c>
      <c r="M64" s="23">
        <f>L64-M25</f>
        <v>0</v>
      </c>
      <c r="N64" s="23"/>
      <c r="O64" s="23"/>
    </row>
    <row r="65" spans="1:16" ht="12.75" outlineLevel="1">
      <c r="A65" s="35"/>
      <c r="C65" s="32">
        <f t="shared" si="9"/>
        <v>2021</v>
      </c>
      <c r="K65" s="23">
        <f>K$3-K26</f>
        <v>0</v>
      </c>
      <c r="L65" s="23">
        <f>K65-L26</f>
        <v>0</v>
      </c>
      <c r="M65" s="23">
        <f>L65-M26</f>
        <v>0</v>
      </c>
      <c r="N65" s="23">
        <f>M65-N26</f>
        <v>0</v>
      </c>
      <c r="O65" s="23"/>
      <c r="P65" s="23"/>
    </row>
    <row r="66" spans="1:17" ht="12.75" outlineLevel="1">
      <c r="A66" s="35"/>
      <c r="C66" s="32">
        <f t="shared" si="9"/>
        <v>2022</v>
      </c>
      <c r="L66" s="23">
        <f>L$3-L27</f>
        <v>0</v>
      </c>
      <c r="M66" s="23">
        <f>L66-M27</f>
        <v>0</v>
      </c>
      <c r="N66" s="23">
        <f>M66-N27</f>
        <v>0</v>
      </c>
      <c r="O66" s="23">
        <f>N66-O27</f>
        <v>0</v>
      </c>
      <c r="P66" s="23"/>
      <c r="Q66" s="23"/>
    </row>
    <row r="67" spans="1:18" ht="12.75" outlineLevel="1">
      <c r="A67" s="35"/>
      <c r="C67" s="32">
        <f t="shared" si="9"/>
        <v>2023</v>
      </c>
      <c r="M67" s="23">
        <f>M$3-M28</f>
        <v>0</v>
      </c>
      <c r="N67" s="23">
        <f>M67-N28</f>
        <v>0</v>
      </c>
      <c r="O67" s="23">
        <f>N67-O28</f>
        <v>0</v>
      </c>
      <c r="P67" s="23">
        <f>O67-P28</f>
        <v>0</v>
      </c>
      <c r="Q67" s="23"/>
      <c r="R67" s="23"/>
    </row>
    <row r="68" spans="1:19" ht="12.75" outlineLevel="1">
      <c r="A68" s="35"/>
      <c r="C68" s="32">
        <f t="shared" si="9"/>
        <v>2024</v>
      </c>
      <c r="N68" s="23">
        <f>N$3-N29</f>
        <v>0</v>
      </c>
      <c r="O68" s="23">
        <f>N68-O29</f>
        <v>0</v>
      </c>
      <c r="P68" s="23">
        <f>O68-P29</f>
        <v>0</v>
      </c>
      <c r="Q68" s="23">
        <f>P68-Q29</f>
        <v>0</v>
      </c>
      <c r="R68" s="23"/>
      <c r="S68" s="23"/>
    </row>
    <row r="69" spans="1:20" ht="12.75" outlineLevel="1">
      <c r="A69" s="35"/>
      <c r="C69" s="32">
        <f t="shared" si="9"/>
        <v>2025</v>
      </c>
      <c r="O69" s="23">
        <f>O$3-O30</f>
        <v>0</v>
      </c>
      <c r="P69" s="23">
        <f>O69-P30</f>
        <v>0</v>
      </c>
      <c r="Q69" s="23">
        <f>P69-Q30</f>
        <v>0</v>
      </c>
      <c r="R69" s="23">
        <f>Q69-R30</f>
        <v>0</v>
      </c>
      <c r="S69" s="23"/>
      <c r="T69" s="23"/>
    </row>
    <row r="70" spans="1:21" ht="12.75" outlineLevel="1">
      <c r="A70" s="35"/>
      <c r="C70" s="32">
        <f t="shared" si="9"/>
        <v>2026</v>
      </c>
      <c r="P70" s="23">
        <f>P$3-P31</f>
        <v>0</v>
      </c>
      <c r="Q70" s="23">
        <f>P70-Q31</f>
        <v>0</v>
      </c>
      <c r="R70" s="23">
        <f>Q70-R31</f>
        <v>0</v>
      </c>
      <c r="S70" s="23">
        <f>R70-S31</f>
        <v>0</v>
      </c>
      <c r="T70" s="23"/>
      <c r="U70" s="23"/>
    </row>
    <row r="71" spans="1:22" ht="12.75" outlineLevel="1">
      <c r="A71" s="35"/>
      <c r="C71" s="32">
        <f t="shared" si="9"/>
        <v>2027</v>
      </c>
      <c r="Q71" s="23">
        <f>Q$3-Q32</f>
        <v>0</v>
      </c>
      <c r="R71" s="23">
        <f>Q71-R32</f>
        <v>0</v>
      </c>
      <c r="S71" s="23">
        <f>R71-S32</f>
        <v>0</v>
      </c>
      <c r="T71" s="23">
        <f>S71-T32</f>
        <v>0</v>
      </c>
      <c r="U71" s="23"/>
      <c r="V71" s="23"/>
    </row>
    <row r="72" spans="1:23" ht="12.75" outlineLevel="1">
      <c r="A72" s="35"/>
      <c r="C72" s="32">
        <f t="shared" si="9"/>
        <v>2028</v>
      </c>
      <c r="R72" s="23">
        <f>R$3-R33</f>
        <v>0</v>
      </c>
      <c r="S72" s="23">
        <f>R72-S33</f>
        <v>0</v>
      </c>
      <c r="T72" s="23">
        <f>S72-T33</f>
        <v>0</v>
      </c>
      <c r="U72" s="23">
        <f>T72-U33</f>
        <v>0</v>
      </c>
      <c r="V72" s="23"/>
      <c r="W72" s="23"/>
    </row>
    <row r="73" spans="1:24" ht="12.75" outlineLevel="1">
      <c r="A73" s="35"/>
      <c r="C73" s="32">
        <f t="shared" si="9"/>
        <v>2029</v>
      </c>
      <c r="S73" s="23">
        <f>S$3-S34</f>
        <v>0</v>
      </c>
      <c r="T73" s="23">
        <f>S73-T34</f>
        <v>0</v>
      </c>
      <c r="U73" s="23">
        <f>T73-U34</f>
        <v>0</v>
      </c>
      <c r="V73" s="23">
        <f>U73-V34</f>
        <v>0</v>
      </c>
      <c r="W73" s="23"/>
      <c r="X73" s="23"/>
    </row>
    <row r="74" spans="1:25" ht="12.75" outlineLevel="1">
      <c r="A74" s="35"/>
      <c r="C74" s="32">
        <f t="shared" si="9"/>
        <v>2030</v>
      </c>
      <c r="T74" s="23">
        <f>T$3-T35</f>
        <v>0</v>
      </c>
      <c r="U74" s="23">
        <f>T74-U35</f>
        <v>0</v>
      </c>
      <c r="V74" s="23">
        <f>U74-V35</f>
        <v>0</v>
      </c>
      <c r="W74" s="23">
        <f>V74-W35</f>
        <v>0</v>
      </c>
      <c r="X74" s="23"/>
      <c r="Y74" s="23"/>
    </row>
    <row r="75" spans="1:26" ht="12.75" outlineLevel="1">
      <c r="A75" s="35"/>
      <c r="C75" s="32">
        <f t="shared" si="9"/>
        <v>2031</v>
      </c>
      <c r="U75" s="23">
        <f>U$3-U36</f>
        <v>0</v>
      </c>
      <c r="V75" s="23">
        <f>U75-V36</f>
        <v>0</v>
      </c>
      <c r="W75" s="23">
        <f>V75-W36</f>
        <v>0</v>
      </c>
      <c r="X75" s="23">
        <f>W75-X36</f>
        <v>0</v>
      </c>
      <c r="Y75" s="23"/>
      <c r="Z75" s="23"/>
    </row>
    <row r="76" spans="1:27" ht="12.75" outlineLevel="1">
      <c r="A76" s="35"/>
      <c r="C76" s="32">
        <f t="shared" si="9"/>
        <v>2032</v>
      </c>
      <c r="V76" s="23">
        <f>V$3-V37</f>
        <v>0</v>
      </c>
      <c r="W76" s="23">
        <f>V76-W37</f>
        <v>0</v>
      </c>
      <c r="X76" s="23">
        <f>W76-X37</f>
        <v>0</v>
      </c>
      <c r="Y76" s="23">
        <f>X76-Y37</f>
        <v>0</v>
      </c>
      <c r="Z76" s="23"/>
      <c r="AA76" s="23"/>
    </row>
    <row r="77" spans="1:28" ht="12.75" outlineLevel="1">
      <c r="A77" s="35"/>
      <c r="C77" s="32">
        <f t="shared" si="9"/>
        <v>2033</v>
      </c>
      <c r="W77" s="23">
        <f>W$3-W38</f>
        <v>0</v>
      </c>
      <c r="X77" s="23">
        <f>W77-X38</f>
        <v>0</v>
      </c>
      <c r="Y77" s="23">
        <f>X77-Y38</f>
        <v>0</v>
      </c>
      <c r="Z77" s="23">
        <f>Y77-Z38</f>
        <v>0</v>
      </c>
      <c r="AA77" s="23"/>
      <c r="AB77" s="23"/>
    </row>
    <row r="78" spans="1:29" ht="12.75" outlineLevel="1">
      <c r="A78" s="35"/>
      <c r="C78" s="32">
        <f t="shared" si="9"/>
        <v>2034</v>
      </c>
      <c r="X78" s="23">
        <f>X$3-X39</f>
        <v>0</v>
      </c>
      <c r="Y78" s="23">
        <f>X78-Y39</f>
        <v>0</v>
      </c>
      <c r="Z78" s="23">
        <f>Y78-Z39</f>
        <v>0</v>
      </c>
      <c r="AA78" s="23">
        <f>Z78-AA39</f>
        <v>0</v>
      </c>
      <c r="AB78" s="23"/>
      <c r="AC78" s="23"/>
    </row>
    <row r="79" spans="1:30" ht="12.75" outlineLevel="1">
      <c r="A79" s="35"/>
      <c r="C79" s="32">
        <f t="shared" si="9"/>
        <v>2035</v>
      </c>
      <c r="Y79" s="23">
        <f>Y$3-Y40</f>
        <v>0</v>
      </c>
      <c r="Z79" s="23">
        <f>Y79-Z40</f>
        <v>0</v>
      </c>
      <c r="AA79" s="23">
        <f>Z79-AA40</f>
        <v>0</v>
      </c>
      <c r="AB79" s="23">
        <f>AA79-AB40</f>
        <v>0</v>
      </c>
      <c r="AC79" s="23"/>
      <c r="AD79" s="23"/>
    </row>
    <row r="80" spans="1:31" ht="12.75" outlineLevel="1">
      <c r="A80" s="35"/>
      <c r="C80" s="32">
        <f t="shared" si="9"/>
        <v>2036</v>
      </c>
      <c r="Z80" s="23">
        <f>Z$3-Z41</f>
        <v>0</v>
      </c>
      <c r="AA80" s="23">
        <f>Z80-AA41</f>
        <v>0</v>
      </c>
      <c r="AB80" s="23">
        <f>AA80-AB41</f>
        <v>0</v>
      </c>
      <c r="AC80" s="23">
        <f>AB80-AC41</f>
        <v>0</v>
      </c>
      <c r="AD80" s="23"/>
      <c r="AE80" s="23"/>
    </row>
    <row r="81" spans="1:32" ht="12.75" outlineLevel="1">
      <c r="A81" s="35"/>
      <c r="C81" s="32">
        <f t="shared" si="9"/>
        <v>2037</v>
      </c>
      <c r="AA81" s="23">
        <f>AA$3-AA42</f>
        <v>0</v>
      </c>
      <c r="AB81" s="23">
        <f>AA81-AB42</f>
        <v>0</v>
      </c>
      <c r="AC81" s="23">
        <f>AB81-AC42</f>
        <v>0</v>
      </c>
      <c r="AD81" s="23">
        <f>AC81-AD42</f>
        <v>0</v>
      </c>
      <c r="AE81" s="23"/>
      <c r="AF81" s="23"/>
    </row>
    <row r="82" spans="1:33" ht="12.75" outlineLevel="1">
      <c r="A82" s="35"/>
      <c r="C82" s="32">
        <f t="shared" si="9"/>
        <v>2038</v>
      </c>
      <c r="AB82" s="23">
        <f>AB$3-AB43</f>
        <v>0</v>
      </c>
      <c r="AC82" s="23">
        <f>AB82-AC43</f>
        <v>0</v>
      </c>
      <c r="AD82" s="23">
        <f>AC82-AD43</f>
        <v>0</v>
      </c>
      <c r="AE82" s="23">
        <f>AD82-AE43</f>
        <v>0</v>
      </c>
      <c r="AF82" s="23"/>
      <c r="AG82" s="23"/>
    </row>
    <row r="83" spans="1:34" ht="12.75" outlineLevel="1">
      <c r="A83" s="35"/>
      <c r="C83" s="32">
        <f t="shared" si="9"/>
        <v>2039</v>
      </c>
      <c r="AC83" s="23">
        <f>AC$3-AC44</f>
        <v>0</v>
      </c>
      <c r="AD83" s="23">
        <f>AC83-AD44</f>
        <v>0</v>
      </c>
      <c r="AE83" s="23">
        <f>AD83-AE44</f>
        <v>0</v>
      </c>
      <c r="AF83" s="23">
        <f>AE83-AF44</f>
        <v>0</v>
      </c>
      <c r="AG83" s="23"/>
      <c r="AH83" s="23"/>
    </row>
    <row r="84" spans="1:35" ht="12.75" outlineLevel="1">
      <c r="A84" s="35"/>
      <c r="C84" s="32">
        <f t="shared" si="9"/>
        <v>2040</v>
      </c>
      <c r="AD84" s="23">
        <f>AD$3-AD45</f>
        <v>0</v>
      </c>
      <c r="AE84" s="23">
        <f>AD84-AE45</f>
        <v>0</v>
      </c>
      <c r="AF84" s="23">
        <f>AE84-AF45</f>
        <v>0</v>
      </c>
      <c r="AG84" s="23">
        <f>AF84-AG45</f>
        <v>0</v>
      </c>
      <c r="AH84" s="23"/>
      <c r="AI84" s="23"/>
    </row>
    <row r="85" spans="1:36" ht="12.75" outlineLevel="1">
      <c r="A85" s="35"/>
      <c r="C85" s="32">
        <f t="shared" si="9"/>
        <v>2041</v>
      </c>
      <c r="AE85" s="23">
        <f>AE$3-AE46</f>
        <v>0</v>
      </c>
      <c r="AF85" s="23">
        <f>AE85-AF46</f>
        <v>0</v>
      </c>
      <c r="AG85" s="23">
        <f>AF85-AG46</f>
        <v>0</v>
      </c>
      <c r="AH85" s="23">
        <f>AG85-AH46</f>
        <v>0</v>
      </c>
      <c r="AI85" s="23"/>
      <c r="AJ85" s="23"/>
    </row>
    <row r="86" spans="1:37" ht="12.75" outlineLevel="1">
      <c r="A86" s="35"/>
      <c r="C86" s="32">
        <f t="shared" si="9"/>
        <v>2042</v>
      </c>
      <c r="AF86" s="23">
        <f>AF$3-AF47</f>
        <v>0</v>
      </c>
      <c r="AG86" s="23">
        <f>AF86-AG47</f>
        <v>0</v>
      </c>
      <c r="AH86" s="23">
        <f>AG86-AH47</f>
        <v>0</v>
      </c>
      <c r="AI86" s="23">
        <f>AH86-AI47</f>
        <v>0</v>
      </c>
      <c r="AJ86" s="23"/>
      <c r="AK86" s="23"/>
    </row>
    <row r="87" spans="1:38" ht="12.75" outlineLevel="1">
      <c r="A87" s="35"/>
      <c r="C87" s="32">
        <f t="shared" si="9"/>
        <v>2043</v>
      </c>
      <c r="AG87" s="23">
        <f>AG$3-AG48</f>
        <v>0</v>
      </c>
      <c r="AH87" s="23">
        <f>AG87-AH48</f>
        <v>0</v>
      </c>
      <c r="AI87" s="23">
        <f>AH87-AI48</f>
        <v>0</v>
      </c>
      <c r="AJ87" s="23">
        <f>AI87-AJ48</f>
        <v>0</v>
      </c>
      <c r="AK87" s="23"/>
      <c r="AL87" s="23"/>
    </row>
    <row r="88" spans="1:39" ht="12.75" outlineLevel="1">
      <c r="A88" s="35"/>
      <c r="C88" s="32">
        <f t="shared" si="9"/>
        <v>2044</v>
      </c>
      <c r="AH88" s="23">
        <f>AH$3-AH49</f>
        <v>0</v>
      </c>
      <c r="AI88" s="23">
        <f>AH88-AI49</f>
        <v>0</v>
      </c>
      <c r="AJ88" s="23">
        <f>AI88-AJ49</f>
        <v>0</v>
      </c>
      <c r="AK88" s="23">
        <f>AJ88-AK49</f>
        <v>0</v>
      </c>
      <c r="AL88" s="23"/>
      <c r="AM88" s="23"/>
    </row>
    <row r="89" spans="1:40" ht="12.75" outlineLevel="1">
      <c r="A89" s="35"/>
      <c r="C89" s="32">
        <f t="shared" si="9"/>
        <v>2045</v>
      </c>
      <c r="AI89" s="23">
        <f>AI$3-AI50</f>
        <v>0</v>
      </c>
      <c r="AJ89" s="23">
        <f>AI89-AJ50</f>
        <v>0</v>
      </c>
      <c r="AK89" s="23">
        <f>AJ89-AK50</f>
        <v>0</v>
      </c>
      <c r="AL89" s="23">
        <f>AK89-AL50</f>
        <v>0</v>
      </c>
      <c r="AM89" s="23"/>
      <c r="AN89" s="23"/>
    </row>
    <row r="90" spans="1:41" ht="12.75" outlineLevel="1">
      <c r="A90" s="35"/>
      <c r="C90" s="32">
        <f t="shared" si="9"/>
        <v>2046</v>
      </c>
      <c r="AJ90" s="23">
        <f>AJ$3-AJ51</f>
        <v>0</v>
      </c>
      <c r="AK90" s="23">
        <f>AJ90-AK51</f>
        <v>0</v>
      </c>
      <c r="AL90" s="23">
        <f>AK90-AL51</f>
        <v>0</v>
      </c>
      <c r="AM90" s="23"/>
      <c r="AN90" s="23"/>
      <c r="AO90" s="23"/>
    </row>
    <row r="91" spans="1:42" ht="12.75" outlineLevel="1">
      <c r="A91" s="35"/>
      <c r="C91" s="32">
        <f t="shared" si="9"/>
        <v>2047</v>
      </c>
      <c r="AK91" s="23">
        <f>AK$3-AK52</f>
        <v>0</v>
      </c>
      <c r="AL91" s="23">
        <f>AK91-AL52</f>
        <v>0</v>
      </c>
      <c r="AM91" s="23"/>
      <c r="AN91" s="23"/>
      <c r="AO91" s="23"/>
      <c r="AP91" s="23"/>
    </row>
    <row r="92" spans="1:43" ht="12.75" outlineLevel="1">
      <c r="A92" s="35"/>
      <c r="C92" s="32">
        <f t="shared" si="9"/>
        <v>2048</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2014</v>
      </c>
      <c r="E97" s="29">
        <f>D97+1</f>
        <v>2015</v>
      </c>
      <c r="F97" s="29">
        <f aca="true" t="shared" si="10" ref="F97:AL97">E97+1</f>
        <v>2016</v>
      </c>
      <c r="G97" s="29">
        <f t="shared" si="10"/>
        <v>2017</v>
      </c>
      <c r="H97" s="29">
        <f t="shared" si="10"/>
        <v>2018</v>
      </c>
      <c r="I97" s="29">
        <f t="shared" si="10"/>
        <v>2019</v>
      </c>
      <c r="J97" s="29">
        <f t="shared" si="10"/>
        <v>2020</v>
      </c>
      <c r="K97" s="29">
        <f t="shared" si="10"/>
        <v>2021</v>
      </c>
      <c r="L97" s="29">
        <f t="shared" si="10"/>
        <v>2022</v>
      </c>
      <c r="M97" s="29">
        <f t="shared" si="10"/>
        <v>2023</v>
      </c>
      <c r="N97" s="29">
        <f t="shared" si="10"/>
        <v>2024</v>
      </c>
      <c r="O97" s="29">
        <f t="shared" si="10"/>
        <v>2025</v>
      </c>
      <c r="P97" s="29">
        <f t="shared" si="10"/>
        <v>2026</v>
      </c>
      <c r="Q97" s="29">
        <f t="shared" si="10"/>
        <v>2027</v>
      </c>
      <c r="R97" s="29">
        <f t="shared" si="10"/>
        <v>2028</v>
      </c>
      <c r="S97" s="29">
        <f t="shared" si="10"/>
        <v>2029</v>
      </c>
      <c r="T97" s="29">
        <f t="shared" si="10"/>
        <v>2030</v>
      </c>
      <c r="U97" s="29">
        <f t="shared" si="10"/>
        <v>2031</v>
      </c>
      <c r="V97" s="29">
        <f t="shared" si="10"/>
        <v>2032</v>
      </c>
      <c r="W97" s="29">
        <f t="shared" si="10"/>
        <v>2033</v>
      </c>
      <c r="X97" s="29">
        <f t="shared" si="10"/>
        <v>2034</v>
      </c>
      <c r="Y97" s="29">
        <f t="shared" si="10"/>
        <v>2035</v>
      </c>
      <c r="Z97" s="29">
        <f t="shared" si="10"/>
        <v>2036</v>
      </c>
      <c r="AA97" s="29">
        <f t="shared" si="10"/>
        <v>2037</v>
      </c>
      <c r="AB97" s="29">
        <f t="shared" si="10"/>
        <v>2038</v>
      </c>
      <c r="AC97" s="29">
        <f t="shared" si="10"/>
        <v>2039</v>
      </c>
      <c r="AD97" s="29">
        <f t="shared" si="10"/>
        <v>2040</v>
      </c>
      <c r="AE97" s="29">
        <f t="shared" si="10"/>
        <v>2041</v>
      </c>
      <c r="AF97" s="29">
        <f t="shared" si="10"/>
        <v>2042</v>
      </c>
      <c r="AG97" s="29">
        <f t="shared" si="10"/>
        <v>2043</v>
      </c>
      <c r="AH97" s="29">
        <f t="shared" si="10"/>
        <v>2044</v>
      </c>
      <c r="AI97" s="29">
        <f t="shared" si="10"/>
        <v>2045</v>
      </c>
      <c r="AJ97" s="29">
        <f t="shared" si="10"/>
        <v>2046</v>
      </c>
      <c r="AK97" s="29">
        <f t="shared" si="10"/>
        <v>2047</v>
      </c>
      <c r="AL97" s="29">
        <f t="shared" si="10"/>
        <v>2048</v>
      </c>
    </row>
    <row r="98" spans="1:15" ht="12.75" outlineLevel="1">
      <c r="A98" s="39"/>
      <c r="C98" s="32">
        <f>D97</f>
        <v>2014</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2015</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2016</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2017</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2018</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2019</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2020</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2021</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2022</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2023</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2024</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2025</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2026</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2027</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2028</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2029</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2030</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2031</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2032</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2033</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2034</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2035</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2036</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2037</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2038</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2039</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2040</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2041</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2042</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2043</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2044</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2045</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2046</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2047</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2048</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2014</v>
      </c>
      <c r="E136" s="29">
        <f>D136+1</f>
        <v>2015</v>
      </c>
      <c r="F136" s="29">
        <f aca="true" t="shared" si="43" ref="F136:AL136">E136+1</f>
        <v>2016</v>
      </c>
      <c r="G136" s="29">
        <f t="shared" si="43"/>
        <v>2017</v>
      </c>
      <c r="H136" s="29">
        <f t="shared" si="43"/>
        <v>2018</v>
      </c>
      <c r="I136" s="29">
        <f t="shared" si="43"/>
        <v>2019</v>
      </c>
      <c r="J136" s="29">
        <f t="shared" si="43"/>
        <v>2020</v>
      </c>
      <c r="K136" s="29">
        <f t="shared" si="43"/>
        <v>2021</v>
      </c>
      <c r="L136" s="29">
        <f t="shared" si="43"/>
        <v>2022</v>
      </c>
      <c r="M136" s="29">
        <f t="shared" si="43"/>
        <v>2023</v>
      </c>
      <c r="N136" s="29">
        <f t="shared" si="43"/>
        <v>2024</v>
      </c>
      <c r="O136" s="29">
        <f t="shared" si="43"/>
        <v>2025</v>
      </c>
      <c r="P136" s="29">
        <f t="shared" si="43"/>
        <v>2026</v>
      </c>
      <c r="Q136" s="29">
        <f t="shared" si="43"/>
        <v>2027</v>
      </c>
      <c r="R136" s="29">
        <f t="shared" si="43"/>
        <v>2028</v>
      </c>
      <c r="S136" s="29">
        <f t="shared" si="43"/>
        <v>2029</v>
      </c>
      <c r="T136" s="29">
        <f t="shared" si="43"/>
        <v>2030</v>
      </c>
      <c r="U136" s="29">
        <f t="shared" si="43"/>
        <v>2031</v>
      </c>
      <c r="V136" s="29">
        <f t="shared" si="43"/>
        <v>2032</v>
      </c>
      <c r="W136" s="29">
        <f t="shared" si="43"/>
        <v>2033</v>
      </c>
      <c r="X136" s="29">
        <f t="shared" si="43"/>
        <v>2034</v>
      </c>
      <c r="Y136" s="29">
        <f t="shared" si="43"/>
        <v>2035</v>
      </c>
      <c r="Z136" s="29">
        <f t="shared" si="43"/>
        <v>2036</v>
      </c>
      <c r="AA136" s="29">
        <f t="shared" si="43"/>
        <v>2037</v>
      </c>
      <c r="AB136" s="29">
        <f t="shared" si="43"/>
        <v>2038</v>
      </c>
      <c r="AC136" s="29">
        <f t="shared" si="43"/>
        <v>2039</v>
      </c>
      <c r="AD136" s="29">
        <f t="shared" si="43"/>
        <v>2040</v>
      </c>
      <c r="AE136" s="29">
        <f t="shared" si="43"/>
        <v>2041</v>
      </c>
      <c r="AF136" s="29">
        <f t="shared" si="43"/>
        <v>2042</v>
      </c>
      <c r="AG136" s="29">
        <f t="shared" si="43"/>
        <v>2043</v>
      </c>
      <c r="AH136" s="29">
        <f t="shared" si="43"/>
        <v>2044</v>
      </c>
      <c r="AI136" s="29">
        <f t="shared" si="43"/>
        <v>2045</v>
      </c>
      <c r="AJ136" s="29">
        <f t="shared" si="43"/>
        <v>2046</v>
      </c>
      <c r="AK136" s="29">
        <f t="shared" si="43"/>
        <v>2047</v>
      </c>
      <c r="AL136" s="29">
        <f t="shared" si="43"/>
        <v>2048</v>
      </c>
    </row>
    <row r="137" spans="1:15" ht="12.75" outlineLevel="1">
      <c r="A137" s="39"/>
      <c r="C137" s="32">
        <f>D136</f>
        <v>2014</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2015</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2016</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2017</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2018</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2019</v>
      </c>
      <c r="I142" s="23">
        <f>I$4-I103</f>
        <v>0</v>
      </c>
      <c r="J142" s="23">
        <f>I142-J103</f>
        <v>0</v>
      </c>
      <c r="K142" s="23">
        <f>J142-K103</f>
        <v>0</v>
      </c>
      <c r="L142" s="23">
        <f>K142-L103</f>
        <v>0</v>
      </c>
      <c r="M142" s="23">
        <f>L142-M103</f>
        <v>0</v>
      </c>
      <c r="N142" s="23">
        <f>M142-N103</f>
        <v>0</v>
      </c>
    </row>
    <row r="143" spans="1:15" ht="12.75" outlineLevel="1">
      <c r="A143" s="39"/>
      <c r="C143" s="32">
        <f t="shared" si="44"/>
        <v>2020</v>
      </c>
      <c r="J143" s="23">
        <f>J$4-J104</f>
        <v>0</v>
      </c>
      <c r="K143" s="23">
        <f>J143-K104</f>
        <v>0</v>
      </c>
      <c r="L143" s="23">
        <f>K143-L104</f>
        <v>0</v>
      </c>
      <c r="M143" s="23">
        <f>L143-M104</f>
        <v>0</v>
      </c>
      <c r="N143" s="23">
        <f>M143-N104</f>
        <v>0</v>
      </c>
      <c r="O143" s="23">
        <f>N143-O104</f>
        <v>0</v>
      </c>
    </row>
    <row r="144" spans="1:16" ht="12.75" outlineLevel="1">
      <c r="A144" s="39"/>
      <c r="C144" s="32">
        <f t="shared" si="44"/>
        <v>2021</v>
      </c>
      <c r="K144" s="23">
        <f>K$4-K105</f>
        <v>0</v>
      </c>
      <c r="L144" s="23">
        <f>K144-L105</f>
        <v>0</v>
      </c>
      <c r="M144" s="23">
        <f>L144-M105</f>
        <v>0</v>
      </c>
      <c r="N144" s="23">
        <f>M144-N105</f>
        <v>0</v>
      </c>
      <c r="O144" s="23">
        <f>N144-O105</f>
        <v>0</v>
      </c>
      <c r="P144" s="23">
        <f>O144-P105</f>
        <v>0</v>
      </c>
    </row>
    <row r="145" spans="1:17" ht="12.75" outlineLevel="1">
      <c r="A145" s="39"/>
      <c r="C145" s="32">
        <f t="shared" si="44"/>
        <v>2022</v>
      </c>
      <c r="L145" s="23">
        <f>L$4-L106</f>
        <v>0</v>
      </c>
      <c r="M145" s="23">
        <f>L145-M106</f>
        <v>0</v>
      </c>
      <c r="N145" s="23">
        <f>M145-N106</f>
        <v>0</v>
      </c>
      <c r="O145" s="23">
        <f>N145-O106</f>
        <v>0</v>
      </c>
      <c r="P145" s="23">
        <f>O145-P106</f>
        <v>0</v>
      </c>
      <c r="Q145" s="23">
        <f>P145-Q106</f>
        <v>0</v>
      </c>
    </row>
    <row r="146" spans="1:18" ht="12.75" outlineLevel="1">
      <c r="A146" s="39"/>
      <c r="C146" s="32">
        <f t="shared" si="44"/>
        <v>2023</v>
      </c>
      <c r="M146" s="23">
        <f>M$4-M107</f>
        <v>0</v>
      </c>
      <c r="N146" s="23">
        <f>M146-N107</f>
        <v>0</v>
      </c>
      <c r="O146" s="23">
        <f>N146-O107</f>
        <v>0</v>
      </c>
      <c r="P146" s="23">
        <f>O146-P107</f>
        <v>0</v>
      </c>
      <c r="Q146" s="23">
        <f>P146-Q107</f>
        <v>0</v>
      </c>
      <c r="R146" s="23">
        <f>Q146-R107</f>
        <v>0</v>
      </c>
    </row>
    <row r="147" spans="1:19" ht="12.75" outlineLevel="1">
      <c r="A147" s="39"/>
      <c r="C147" s="32">
        <f t="shared" si="44"/>
        <v>2024</v>
      </c>
      <c r="N147" s="23">
        <f>N$4-N108</f>
        <v>0</v>
      </c>
      <c r="O147" s="23">
        <f>N147-O108</f>
        <v>0</v>
      </c>
      <c r="P147" s="23">
        <f>O147-P108</f>
        <v>0</v>
      </c>
      <c r="Q147" s="23">
        <f>P147-Q108</f>
        <v>0</v>
      </c>
      <c r="R147" s="23">
        <f>Q147-R108</f>
        <v>0</v>
      </c>
      <c r="S147" s="23">
        <f>R147-S108</f>
        <v>0</v>
      </c>
    </row>
    <row r="148" spans="1:20" ht="12.75" outlineLevel="1">
      <c r="A148" s="39"/>
      <c r="C148" s="32">
        <f t="shared" si="44"/>
        <v>2025</v>
      </c>
      <c r="O148" s="23">
        <f>O$4-O109</f>
        <v>0</v>
      </c>
      <c r="P148" s="23">
        <f>O148-P109</f>
        <v>0</v>
      </c>
      <c r="Q148" s="23">
        <f>P148-Q109</f>
        <v>0</v>
      </c>
      <c r="R148" s="23">
        <f>Q148-R109</f>
        <v>0</v>
      </c>
      <c r="S148" s="23">
        <f>R148-S109</f>
        <v>0</v>
      </c>
      <c r="T148" s="23">
        <f>S148-T109</f>
        <v>0</v>
      </c>
    </row>
    <row r="149" spans="1:21" ht="12.75" outlineLevel="1">
      <c r="A149" s="39"/>
      <c r="C149" s="32">
        <f t="shared" si="44"/>
        <v>2026</v>
      </c>
      <c r="P149" s="23">
        <f>P$4-P110</f>
        <v>0</v>
      </c>
      <c r="Q149" s="23">
        <f>P149-Q110</f>
        <v>0</v>
      </c>
      <c r="R149" s="23">
        <f>Q149-R110</f>
        <v>0</v>
      </c>
      <c r="S149" s="23">
        <f>R149-S110</f>
        <v>0</v>
      </c>
      <c r="T149" s="23">
        <f>S149-T110</f>
        <v>0</v>
      </c>
      <c r="U149" s="23">
        <f>T149-U110</f>
        <v>0</v>
      </c>
    </row>
    <row r="150" spans="1:22" ht="12.75" outlineLevel="1">
      <c r="A150" s="39"/>
      <c r="C150" s="32">
        <f t="shared" si="44"/>
        <v>2027</v>
      </c>
      <c r="Q150" s="23">
        <f>Q$4-Q111</f>
        <v>0</v>
      </c>
      <c r="R150" s="23">
        <f>Q150-R111</f>
        <v>0</v>
      </c>
      <c r="S150" s="23">
        <f>R150-S111</f>
        <v>0</v>
      </c>
      <c r="T150" s="23">
        <f>S150-T111</f>
        <v>0</v>
      </c>
      <c r="U150" s="23">
        <f>T150-U111</f>
        <v>0</v>
      </c>
      <c r="V150" s="23">
        <f>U150-V111</f>
        <v>0</v>
      </c>
    </row>
    <row r="151" spans="1:23" ht="12.75" outlineLevel="1">
      <c r="A151" s="39"/>
      <c r="C151" s="32">
        <f t="shared" si="44"/>
        <v>2028</v>
      </c>
      <c r="R151" s="23">
        <f>R$4-R112</f>
        <v>0</v>
      </c>
      <c r="S151" s="23">
        <f>R151-S112</f>
        <v>0</v>
      </c>
      <c r="T151" s="23">
        <f>S151-T112</f>
        <v>0</v>
      </c>
      <c r="U151" s="23">
        <f>T151-U112</f>
        <v>0</v>
      </c>
      <c r="V151" s="23">
        <f>U151-V112</f>
        <v>0</v>
      </c>
      <c r="W151" s="23">
        <f>V151-W112</f>
        <v>0</v>
      </c>
    </row>
    <row r="152" spans="1:24" ht="12.75" outlineLevel="1">
      <c r="A152" s="39"/>
      <c r="C152" s="32">
        <f t="shared" si="44"/>
        <v>2029</v>
      </c>
      <c r="S152" s="23">
        <f>S$4-S113</f>
        <v>0</v>
      </c>
      <c r="T152" s="23">
        <f>S152-T113</f>
        <v>0</v>
      </c>
      <c r="U152" s="23">
        <f>T152-U113</f>
        <v>0</v>
      </c>
      <c r="V152" s="23">
        <f>U152-V113</f>
        <v>0</v>
      </c>
      <c r="W152" s="23">
        <f>V152-W113</f>
        <v>0</v>
      </c>
      <c r="X152" s="23">
        <f>W152-X113</f>
        <v>0</v>
      </c>
    </row>
    <row r="153" spans="1:25" ht="12.75" outlineLevel="1">
      <c r="A153" s="39"/>
      <c r="C153" s="32">
        <f t="shared" si="44"/>
        <v>2030</v>
      </c>
      <c r="T153" s="23">
        <f>T$4-T114</f>
        <v>0</v>
      </c>
      <c r="U153" s="23">
        <f>T153-U114</f>
        <v>0</v>
      </c>
      <c r="V153" s="23">
        <f>U153-V114</f>
        <v>0</v>
      </c>
      <c r="W153" s="23">
        <f>V153-W114</f>
        <v>0</v>
      </c>
      <c r="X153" s="23">
        <f>W153-X114</f>
        <v>0</v>
      </c>
      <c r="Y153" s="23">
        <f>X153-Y114</f>
        <v>0</v>
      </c>
    </row>
    <row r="154" spans="1:26" ht="12.75" outlineLevel="1">
      <c r="A154" s="39"/>
      <c r="C154" s="32">
        <f t="shared" si="44"/>
        <v>2031</v>
      </c>
      <c r="U154" s="23">
        <f>U$4-U115</f>
        <v>0</v>
      </c>
      <c r="V154" s="23">
        <f>U154-V115</f>
        <v>0</v>
      </c>
      <c r="W154" s="23">
        <f>V154-W115</f>
        <v>0</v>
      </c>
      <c r="X154" s="23">
        <f>W154-X115</f>
        <v>0</v>
      </c>
      <c r="Y154" s="23">
        <f>X154-Y115</f>
        <v>0</v>
      </c>
      <c r="Z154" s="23">
        <f>Y154-Z115</f>
        <v>0</v>
      </c>
    </row>
    <row r="155" spans="1:27" ht="12.75" outlineLevel="1">
      <c r="A155" s="39"/>
      <c r="C155" s="32">
        <f t="shared" si="44"/>
        <v>2032</v>
      </c>
      <c r="V155" s="23">
        <f>V$4-V116</f>
        <v>0</v>
      </c>
      <c r="W155" s="23">
        <f>V155-W116</f>
        <v>0</v>
      </c>
      <c r="X155" s="23">
        <f>W155-X116</f>
        <v>0</v>
      </c>
      <c r="Y155" s="23">
        <f>X155-Y116</f>
        <v>0</v>
      </c>
      <c r="Z155" s="23">
        <f>Y155-Z116</f>
        <v>0</v>
      </c>
      <c r="AA155" s="23">
        <f>Z155-AA116</f>
        <v>0</v>
      </c>
    </row>
    <row r="156" spans="1:28" ht="12.75" outlineLevel="1">
      <c r="A156" s="39"/>
      <c r="C156" s="32">
        <f t="shared" si="44"/>
        <v>2033</v>
      </c>
      <c r="W156" s="23">
        <f>W$4-W117</f>
        <v>0</v>
      </c>
      <c r="X156" s="23">
        <f>W156-X117</f>
        <v>0</v>
      </c>
      <c r="Y156" s="23">
        <f>X156-Y117</f>
        <v>0</v>
      </c>
      <c r="Z156" s="23">
        <f>Y156-Z117</f>
        <v>0</v>
      </c>
      <c r="AA156" s="23">
        <f>Z156-AA117</f>
        <v>0</v>
      </c>
      <c r="AB156" s="23">
        <f>AA156-AB117</f>
        <v>0</v>
      </c>
    </row>
    <row r="157" spans="1:29" ht="12.75" outlineLevel="1">
      <c r="A157" s="39"/>
      <c r="C157" s="32">
        <f t="shared" si="44"/>
        <v>2034</v>
      </c>
      <c r="X157" s="23">
        <f>X$4-X118</f>
        <v>0</v>
      </c>
      <c r="Y157" s="23">
        <f>X157-Y118</f>
        <v>0</v>
      </c>
      <c r="Z157" s="23">
        <f>Y157-Z118</f>
        <v>0</v>
      </c>
      <c r="AA157" s="23">
        <f>Z157-AA118</f>
        <v>0</v>
      </c>
      <c r="AB157" s="23">
        <f>AA157-AB118</f>
        <v>0</v>
      </c>
      <c r="AC157" s="23">
        <f>AB157-AC118</f>
        <v>0</v>
      </c>
    </row>
    <row r="158" spans="1:30" ht="12.75" outlineLevel="1">
      <c r="A158" s="39"/>
      <c r="C158" s="32">
        <f t="shared" si="44"/>
        <v>2035</v>
      </c>
      <c r="Y158" s="23">
        <f>Y$4-Y119</f>
        <v>0</v>
      </c>
      <c r="Z158" s="23">
        <f>Y158-Z119</f>
        <v>0</v>
      </c>
      <c r="AA158" s="23">
        <f>Z158-AA119</f>
        <v>0</v>
      </c>
      <c r="AB158" s="23">
        <f>AA158-AB119</f>
        <v>0</v>
      </c>
      <c r="AC158" s="23">
        <f>AB158-AC119</f>
        <v>0</v>
      </c>
      <c r="AD158" s="23">
        <f>AC158-AD119</f>
        <v>0</v>
      </c>
    </row>
    <row r="159" spans="1:31" ht="12.75" outlineLevel="1">
      <c r="A159" s="39"/>
      <c r="C159" s="32">
        <f t="shared" si="44"/>
        <v>2036</v>
      </c>
      <c r="Z159" s="23">
        <f>Z$4-Z120</f>
        <v>0</v>
      </c>
      <c r="AA159" s="23">
        <f>Z159-AA120</f>
        <v>0</v>
      </c>
      <c r="AB159" s="23">
        <f>AA159-AB120</f>
        <v>0</v>
      </c>
      <c r="AC159" s="23">
        <f>AB159-AC120</f>
        <v>0</v>
      </c>
      <c r="AD159" s="23">
        <f>AC159-AD120</f>
        <v>0</v>
      </c>
      <c r="AE159" s="23">
        <f>AD159-AE120</f>
        <v>0</v>
      </c>
    </row>
    <row r="160" spans="1:32" ht="12.75" outlineLevel="1">
      <c r="A160" s="39"/>
      <c r="C160" s="32">
        <f t="shared" si="44"/>
        <v>2037</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2038</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2039</v>
      </c>
      <c r="AC162" s="23">
        <f>AC$4-AC123</f>
        <v>0</v>
      </c>
      <c r="AD162" s="23">
        <f>AC162-AD123</f>
        <v>0</v>
      </c>
      <c r="AE162" s="23">
        <f>AD162-AE123</f>
        <v>0</v>
      </c>
      <c r="AF162" s="23">
        <f>AE162-AF123</f>
        <v>0</v>
      </c>
      <c r="AG162" s="23">
        <f>AF162-AG123</f>
        <v>0</v>
      </c>
      <c r="AH162" s="23">
        <f>AG162-AH123</f>
        <v>0</v>
      </c>
    </row>
    <row r="163" spans="1:35" ht="12.75" outlineLevel="1">
      <c r="A163" s="39"/>
      <c r="C163" s="32">
        <f t="shared" si="44"/>
        <v>2040</v>
      </c>
      <c r="AD163" s="23">
        <f>AD$4-AD124</f>
        <v>0</v>
      </c>
      <c r="AE163" s="23">
        <f>AD163-AE124</f>
        <v>0</v>
      </c>
      <c r="AF163" s="23">
        <f>AE163-AF124</f>
        <v>0</v>
      </c>
      <c r="AG163" s="23">
        <f>AF163-AG124</f>
        <v>0</v>
      </c>
      <c r="AH163" s="23">
        <f>AG163-AH124</f>
        <v>0</v>
      </c>
      <c r="AI163" s="23">
        <f>AH163-AI124</f>
        <v>0</v>
      </c>
    </row>
    <row r="164" spans="1:36" ht="12.75" outlineLevel="1">
      <c r="A164" s="39"/>
      <c r="C164" s="32">
        <f t="shared" si="44"/>
        <v>2041</v>
      </c>
      <c r="AE164" s="23">
        <f>AE$4-AE125</f>
        <v>0</v>
      </c>
      <c r="AF164" s="23">
        <f>AE164-AF125</f>
        <v>0</v>
      </c>
      <c r="AG164" s="23">
        <f>AF164-AG125</f>
        <v>0</v>
      </c>
      <c r="AH164" s="23">
        <f>AG164-AH125</f>
        <v>0</v>
      </c>
      <c r="AI164" s="23">
        <f>AH164-AI125</f>
        <v>0</v>
      </c>
      <c r="AJ164" s="23">
        <f>AI164-AJ125</f>
        <v>0</v>
      </c>
    </row>
    <row r="165" spans="1:37" ht="12.75" outlineLevel="1">
      <c r="A165" s="39"/>
      <c r="C165" s="32">
        <f t="shared" si="44"/>
        <v>2042</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2043</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2044</v>
      </c>
      <c r="AH167" s="23">
        <f>AH$4-AH128</f>
        <v>0</v>
      </c>
      <c r="AI167" s="23">
        <f>AH167-AI128</f>
        <v>0</v>
      </c>
      <c r="AJ167" s="23">
        <f>AI167-AJ128</f>
        <v>0</v>
      </c>
      <c r="AK167" s="23">
        <f>AJ167-AK128</f>
        <v>0</v>
      </c>
      <c r="AL167" s="23">
        <f>AK167-AL128</f>
        <v>0</v>
      </c>
      <c r="AM167" s="23"/>
    </row>
    <row r="168" spans="1:40" ht="12.75" outlineLevel="1">
      <c r="A168" s="39"/>
      <c r="C168" s="32">
        <f t="shared" si="44"/>
        <v>2045</v>
      </c>
      <c r="AI168" s="23">
        <f>AI$4-AI129</f>
        <v>0</v>
      </c>
      <c r="AJ168" s="23">
        <f>AI168-AJ129</f>
        <v>0</v>
      </c>
      <c r="AK168" s="23">
        <f>AJ168-AK129</f>
        <v>0</v>
      </c>
      <c r="AL168" s="23">
        <f>AK168-AL129</f>
        <v>0</v>
      </c>
      <c r="AM168" s="23"/>
      <c r="AN168" s="23"/>
    </row>
    <row r="169" spans="1:41" ht="12.75" outlineLevel="1">
      <c r="A169" s="39"/>
      <c r="C169" s="32">
        <f t="shared" si="44"/>
        <v>2046</v>
      </c>
      <c r="AJ169" s="23">
        <f>AJ$4-AJ130</f>
        <v>0</v>
      </c>
      <c r="AK169" s="23">
        <f>AJ169-AK130</f>
        <v>0</v>
      </c>
      <c r="AL169" s="23">
        <f>AK169-AL130</f>
        <v>0</v>
      </c>
      <c r="AM169" s="23"/>
      <c r="AN169" s="23"/>
      <c r="AO169" s="23"/>
    </row>
    <row r="170" spans="1:42" ht="12.75" outlineLevel="1">
      <c r="A170" s="39"/>
      <c r="C170" s="32">
        <f t="shared" si="44"/>
        <v>2047</v>
      </c>
      <c r="AK170" s="23">
        <f>AK$4-AK131</f>
        <v>0</v>
      </c>
      <c r="AL170" s="23">
        <f>AK170-AL131</f>
        <v>0</v>
      </c>
      <c r="AM170" s="23"/>
      <c r="AN170" s="23"/>
      <c r="AO170" s="23"/>
      <c r="AP170" s="23"/>
    </row>
    <row r="171" spans="1:43" ht="12.75" outlineLevel="1">
      <c r="A171" s="39"/>
      <c r="C171" s="32">
        <f t="shared" si="44"/>
        <v>2048</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2014</v>
      </c>
      <c r="E176" s="29">
        <f aca="true" t="shared" si="45" ref="E176:AL176">D176+1</f>
        <v>2015</v>
      </c>
      <c r="F176" s="29">
        <f t="shared" si="45"/>
        <v>2016</v>
      </c>
      <c r="G176" s="29">
        <f t="shared" si="45"/>
        <v>2017</v>
      </c>
      <c r="H176" s="29">
        <f t="shared" si="45"/>
        <v>2018</v>
      </c>
      <c r="I176" s="29">
        <f t="shared" si="45"/>
        <v>2019</v>
      </c>
      <c r="J176" s="29">
        <f t="shared" si="45"/>
        <v>2020</v>
      </c>
      <c r="K176" s="29">
        <f t="shared" si="45"/>
        <v>2021</v>
      </c>
      <c r="L176" s="29">
        <f t="shared" si="45"/>
        <v>2022</v>
      </c>
      <c r="M176" s="29">
        <f t="shared" si="45"/>
        <v>2023</v>
      </c>
      <c r="N176" s="29">
        <f t="shared" si="45"/>
        <v>2024</v>
      </c>
      <c r="O176" s="29">
        <f t="shared" si="45"/>
        <v>2025</v>
      </c>
      <c r="P176" s="29">
        <f t="shared" si="45"/>
        <v>2026</v>
      </c>
      <c r="Q176" s="29">
        <f t="shared" si="45"/>
        <v>2027</v>
      </c>
      <c r="R176" s="29">
        <f t="shared" si="45"/>
        <v>2028</v>
      </c>
      <c r="S176" s="29">
        <f t="shared" si="45"/>
        <v>2029</v>
      </c>
      <c r="T176" s="29">
        <f t="shared" si="45"/>
        <v>2030</v>
      </c>
      <c r="U176" s="29">
        <f t="shared" si="45"/>
        <v>2031</v>
      </c>
      <c r="V176" s="29">
        <f t="shared" si="45"/>
        <v>2032</v>
      </c>
      <c r="W176" s="29">
        <f t="shared" si="45"/>
        <v>2033</v>
      </c>
      <c r="X176" s="29">
        <f t="shared" si="45"/>
        <v>2034</v>
      </c>
      <c r="Y176" s="29">
        <f t="shared" si="45"/>
        <v>2035</v>
      </c>
      <c r="Z176" s="29">
        <f t="shared" si="45"/>
        <v>2036</v>
      </c>
      <c r="AA176" s="29">
        <f t="shared" si="45"/>
        <v>2037</v>
      </c>
      <c r="AB176" s="29">
        <f t="shared" si="45"/>
        <v>2038</v>
      </c>
      <c r="AC176" s="29">
        <f t="shared" si="45"/>
        <v>2039</v>
      </c>
      <c r="AD176" s="29">
        <f t="shared" si="45"/>
        <v>2040</v>
      </c>
      <c r="AE176" s="29">
        <f t="shared" si="45"/>
        <v>2041</v>
      </c>
      <c r="AF176" s="29">
        <f t="shared" si="45"/>
        <v>2042</v>
      </c>
      <c r="AG176" s="29">
        <f t="shared" si="45"/>
        <v>2043</v>
      </c>
      <c r="AH176" s="29">
        <f t="shared" si="45"/>
        <v>2044</v>
      </c>
      <c r="AI176" s="29">
        <f t="shared" si="45"/>
        <v>2045</v>
      </c>
      <c r="AJ176" s="29">
        <f t="shared" si="45"/>
        <v>2046</v>
      </c>
      <c r="AK176" s="29">
        <f t="shared" si="45"/>
        <v>2047</v>
      </c>
      <c r="AL176" s="29">
        <f t="shared" si="45"/>
        <v>2048</v>
      </c>
    </row>
    <row r="177" spans="1:17" ht="12.75" outlineLevel="1">
      <c r="A177" s="43"/>
      <c r="C177" s="32">
        <f>D176</f>
        <v>2014</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2015</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2016</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2017</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2018</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2019</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2020</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2021</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2022</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2023</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2024</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2025</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2026</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2027</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2028</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2029</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2030</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2031</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2032</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2033</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2034</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2035</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2036</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2037</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2038</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2039</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2040</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2041</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2042</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2043</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2044</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2045</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2046</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2047</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2048</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2014</v>
      </c>
      <c r="E215" s="29">
        <f aca="true" t="shared" si="71" ref="E215:AL215">D215+1</f>
        <v>2015</v>
      </c>
      <c r="F215" s="29">
        <f t="shared" si="71"/>
        <v>2016</v>
      </c>
      <c r="G215" s="29">
        <f t="shared" si="71"/>
        <v>2017</v>
      </c>
      <c r="H215" s="29">
        <f t="shared" si="71"/>
        <v>2018</v>
      </c>
      <c r="I215" s="29">
        <f t="shared" si="71"/>
        <v>2019</v>
      </c>
      <c r="J215" s="29">
        <f t="shared" si="71"/>
        <v>2020</v>
      </c>
      <c r="K215" s="29">
        <f t="shared" si="71"/>
        <v>2021</v>
      </c>
      <c r="L215" s="29">
        <f t="shared" si="71"/>
        <v>2022</v>
      </c>
      <c r="M215" s="29">
        <f t="shared" si="71"/>
        <v>2023</v>
      </c>
      <c r="N215" s="29">
        <f t="shared" si="71"/>
        <v>2024</v>
      </c>
      <c r="O215" s="29">
        <f t="shared" si="71"/>
        <v>2025</v>
      </c>
      <c r="P215" s="29">
        <f t="shared" si="71"/>
        <v>2026</v>
      </c>
      <c r="Q215" s="29">
        <f t="shared" si="71"/>
        <v>2027</v>
      </c>
      <c r="R215" s="29">
        <f t="shared" si="71"/>
        <v>2028</v>
      </c>
      <c r="S215" s="29">
        <f t="shared" si="71"/>
        <v>2029</v>
      </c>
      <c r="T215" s="29">
        <f t="shared" si="71"/>
        <v>2030</v>
      </c>
      <c r="U215" s="29">
        <f t="shared" si="71"/>
        <v>2031</v>
      </c>
      <c r="V215" s="29">
        <f t="shared" si="71"/>
        <v>2032</v>
      </c>
      <c r="W215" s="29">
        <f t="shared" si="71"/>
        <v>2033</v>
      </c>
      <c r="X215" s="29">
        <f t="shared" si="71"/>
        <v>2034</v>
      </c>
      <c r="Y215" s="29">
        <f t="shared" si="71"/>
        <v>2035</v>
      </c>
      <c r="Z215" s="29">
        <f t="shared" si="71"/>
        <v>2036</v>
      </c>
      <c r="AA215" s="29">
        <f t="shared" si="71"/>
        <v>2037</v>
      </c>
      <c r="AB215" s="29">
        <f t="shared" si="71"/>
        <v>2038</v>
      </c>
      <c r="AC215" s="29">
        <f t="shared" si="71"/>
        <v>2039</v>
      </c>
      <c r="AD215" s="29">
        <f t="shared" si="71"/>
        <v>2040</v>
      </c>
      <c r="AE215" s="29">
        <f t="shared" si="71"/>
        <v>2041</v>
      </c>
      <c r="AF215" s="29">
        <f t="shared" si="71"/>
        <v>2042</v>
      </c>
      <c r="AG215" s="29">
        <f t="shared" si="71"/>
        <v>2043</v>
      </c>
      <c r="AH215" s="29">
        <f t="shared" si="71"/>
        <v>2044</v>
      </c>
      <c r="AI215" s="29">
        <f t="shared" si="71"/>
        <v>2045</v>
      </c>
      <c r="AJ215" s="29">
        <f t="shared" si="71"/>
        <v>2046</v>
      </c>
      <c r="AK215" s="29">
        <f t="shared" si="71"/>
        <v>2047</v>
      </c>
      <c r="AL215" s="29">
        <f t="shared" si="71"/>
        <v>2048</v>
      </c>
    </row>
    <row r="216" spans="1:18" ht="12.75" outlineLevel="1">
      <c r="A216" s="43"/>
      <c r="C216" s="32">
        <f>D215</f>
        <v>2014</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2015</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2016</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2017</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2018</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2019</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2020</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2021</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2022</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2023</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2024</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2025</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2026</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2027</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2028</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2029</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2030</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2031</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2032</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2033</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2034</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2035</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2036</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2037</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2038</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2039</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2040</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2041</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2042</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2043</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2044</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2045</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2046</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2047</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2048</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2014</v>
      </c>
      <c r="E255" s="29">
        <f aca="true" t="shared" si="101" ref="E255:AL255">D255+1</f>
        <v>2015</v>
      </c>
      <c r="F255" s="29">
        <f t="shared" si="101"/>
        <v>2016</v>
      </c>
      <c r="G255" s="29">
        <f t="shared" si="101"/>
        <v>2017</v>
      </c>
      <c r="H255" s="29">
        <f t="shared" si="101"/>
        <v>2018</v>
      </c>
      <c r="I255" s="29">
        <f t="shared" si="101"/>
        <v>2019</v>
      </c>
      <c r="J255" s="29">
        <f t="shared" si="101"/>
        <v>2020</v>
      </c>
      <c r="K255" s="29">
        <f t="shared" si="101"/>
        <v>2021</v>
      </c>
      <c r="L255" s="29">
        <f t="shared" si="101"/>
        <v>2022</v>
      </c>
      <c r="M255" s="29">
        <f t="shared" si="101"/>
        <v>2023</v>
      </c>
      <c r="N255" s="29">
        <f t="shared" si="101"/>
        <v>2024</v>
      </c>
      <c r="O255" s="29">
        <f t="shared" si="101"/>
        <v>2025</v>
      </c>
      <c r="P255" s="29">
        <f t="shared" si="101"/>
        <v>2026</v>
      </c>
      <c r="Q255" s="29">
        <f t="shared" si="101"/>
        <v>2027</v>
      </c>
      <c r="R255" s="29">
        <f t="shared" si="101"/>
        <v>2028</v>
      </c>
      <c r="S255" s="29">
        <f t="shared" si="101"/>
        <v>2029</v>
      </c>
      <c r="T255" s="29">
        <f t="shared" si="101"/>
        <v>2030</v>
      </c>
      <c r="U255" s="29">
        <f t="shared" si="101"/>
        <v>2031</v>
      </c>
      <c r="V255" s="29">
        <f t="shared" si="101"/>
        <v>2032</v>
      </c>
      <c r="W255" s="29">
        <f t="shared" si="101"/>
        <v>2033</v>
      </c>
      <c r="X255" s="29">
        <f t="shared" si="101"/>
        <v>2034</v>
      </c>
      <c r="Y255" s="29">
        <f t="shared" si="101"/>
        <v>2035</v>
      </c>
      <c r="Z255" s="29">
        <f t="shared" si="101"/>
        <v>2036</v>
      </c>
      <c r="AA255" s="29">
        <f t="shared" si="101"/>
        <v>2037</v>
      </c>
      <c r="AB255" s="29">
        <f t="shared" si="101"/>
        <v>2038</v>
      </c>
      <c r="AC255" s="29">
        <f t="shared" si="101"/>
        <v>2039</v>
      </c>
      <c r="AD255" s="29">
        <f t="shared" si="101"/>
        <v>2040</v>
      </c>
      <c r="AE255" s="29">
        <f t="shared" si="101"/>
        <v>2041</v>
      </c>
      <c r="AF255" s="29">
        <f t="shared" si="101"/>
        <v>2042</v>
      </c>
      <c r="AG255" s="29">
        <f t="shared" si="101"/>
        <v>2043</v>
      </c>
      <c r="AH255" s="29">
        <f t="shared" si="101"/>
        <v>2044</v>
      </c>
      <c r="AI255" s="29">
        <f t="shared" si="101"/>
        <v>2045</v>
      </c>
      <c r="AJ255" s="29">
        <f t="shared" si="101"/>
        <v>2046</v>
      </c>
      <c r="AK255" s="29">
        <f t="shared" si="101"/>
        <v>2047</v>
      </c>
      <c r="AL255" s="29">
        <f t="shared" si="101"/>
        <v>2048</v>
      </c>
    </row>
    <row r="256" spans="1:36" ht="12.75" outlineLevel="1">
      <c r="A256" s="44"/>
      <c r="C256" s="32">
        <f>D255</f>
        <v>2014</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2015</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2016</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2017</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2018</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2019</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2020</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2021</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2022</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2023</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2024</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2025</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2026</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2027</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2028</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2029</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2030</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2031</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2032</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2033</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2034</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2035</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2036</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2037</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2038</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2039</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2040</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2041</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2042</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2043</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2044</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2045</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2046</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2047</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2048</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2014</v>
      </c>
      <c r="E294" s="29">
        <f aca="true" t="shared" si="133" ref="E294:AL294">D294+1</f>
        <v>2015</v>
      </c>
      <c r="F294" s="29">
        <f t="shared" si="133"/>
        <v>2016</v>
      </c>
      <c r="G294" s="29">
        <f t="shared" si="133"/>
        <v>2017</v>
      </c>
      <c r="H294" s="29">
        <f t="shared" si="133"/>
        <v>2018</v>
      </c>
      <c r="I294" s="29">
        <f t="shared" si="133"/>
        <v>2019</v>
      </c>
      <c r="J294" s="29">
        <f t="shared" si="133"/>
        <v>2020</v>
      </c>
      <c r="K294" s="29">
        <f t="shared" si="133"/>
        <v>2021</v>
      </c>
      <c r="L294" s="29">
        <f t="shared" si="133"/>
        <v>2022</v>
      </c>
      <c r="M294" s="29">
        <f t="shared" si="133"/>
        <v>2023</v>
      </c>
      <c r="N294" s="29">
        <f t="shared" si="133"/>
        <v>2024</v>
      </c>
      <c r="O294" s="29">
        <f t="shared" si="133"/>
        <v>2025</v>
      </c>
      <c r="P294" s="29">
        <f t="shared" si="133"/>
        <v>2026</v>
      </c>
      <c r="Q294" s="29">
        <f t="shared" si="133"/>
        <v>2027</v>
      </c>
      <c r="R294" s="29">
        <f t="shared" si="133"/>
        <v>2028</v>
      </c>
      <c r="S294" s="29">
        <f t="shared" si="133"/>
        <v>2029</v>
      </c>
      <c r="T294" s="29">
        <f t="shared" si="133"/>
        <v>2030</v>
      </c>
      <c r="U294" s="29">
        <f t="shared" si="133"/>
        <v>2031</v>
      </c>
      <c r="V294" s="29">
        <f t="shared" si="133"/>
        <v>2032</v>
      </c>
      <c r="W294" s="29">
        <f t="shared" si="133"/>
        <v>2033</v>
      </c>
      <c r="X294" s="29">
        <f t="shared" si="133"/>
        <v>2034</v>
      </c>
      <c r="Y294" s="29">
        <f t="shared" si="133"/>
        <v>2035</v>
      </c>
      <c r="Z294" s="29">
        <f t="shared" si="133"/>
        <v>2036</v>
      </c>
      <c r="AA294" s="29">
        <f t="shared" si="133"/>
        <v>2037</v>
      </c>
      <c r="AB294" s="29">
        <f t="shared" si="133"/>
        <v>2038</v>
      </c>
      <c r="AC294" s="29">
        <f t="shared" si="133"/>
        <v>2039</v>
      </c>
      <c r="AD294" s="29">
        <f t="shared" si="133"/>
        <v>2040</v>
      </c>
      <c r="AE294" s="29">
        <f t="shared" si="133"/>
        <v>2041</v>
      </c>
      <c r="AF294" s="29">
        <f t="shared" si="133"/>
        <v>2042</v>
      </c>
      <c r="AG294" s="29">
        <f t="shared" si="133"/>
        <v>2043</v>
      </c>
      <c r="AH294" s="29">
        <f t="shared" si="133"/>
        <v>2044</v>
      </c>
      <c r="AI294" s="29">
        <f t="shared" si="133"/>
        <v>2045</v>
      </c>
      <c r="AJ294" s="29">
        <f t="shared" si="133"/>
        <v>2046</v>
      </c>
      <c r="AK294" s="29">
        <f t="shared" si="133"/>
        <v>2047</v>
      </c>
      <c r="AL294" s="29">
        <f t="shared" si="133"/>
        <v>2048</v>
      </c>
    </row>
    <row r="295" spans="1:27" ht="12.75" outlineLevel="1">
      <c r="A295" s="44"/>
      <c r="C295" s="32">
        <f>D294</f>
        <v>2014</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2015</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2016</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2017</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2018</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2019</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2020</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2021</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2022</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2023</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2024</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2025</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2026</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2027</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2028</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2029</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2030</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2031</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2032</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2033</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2034</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2035</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2036</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2037</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2038</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2039</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2040</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2041</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2042</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2043</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2044</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2045</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2046</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2047</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2048</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74"/>
  <sheetViews>
    <sheetView showGridLines="0" zoomScalePageLayoutView="0" workbookViewId="0" topLeftCell="A26">
      <selection activeCell="A26" sqref="A26:P26"/>
    </sheetView>
  </sheetViews>
  <sheetFormatPr defaultColWidth="9.00390625" defaultRowHeight="12.75"/>
  <cols>
    <col min="1" max="1" width="3.00390625" style="86" customWidth="1"/>
    <col min="2" max="2" width="9.125" style="86" customWidth="1"/>
    <col min="3" max="3" width="36.375" style="86" customWidth="1"/>
    <col min="4" max="4" width="11.25390625" style="86" customWidth="1"/>
    <col min="5" max="5" width="0.128906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2" width="38.125" style="86" customWidth="1"/>
    <col min="13" max="13" width="7.875" style="86" customWidth="1"/>
    <col min="14" max="14" width="0.6171875" style="86" customWidth="1"/>
    <col min="15" max="15" width="12.625" style="86" customWidth="1"/>
    <col min="16" max="16" width="3.00390625" style="86" customWidth="1"/>
    <col min="17" max="16384" width="9.125" style="86" customWidth="1"/>
  </cols>
  <sheetData>
    <row r="1" spans="2:12" s="54" customFormat="1" ht="12.75" hidden="1">
      <c r="B1" s="54" t="s">
        <v>82</v>
      </c>
      <c r="D1" s="5">
        <v>4</v>
      </c>
      <c r="L1" s="56"/>
    </row>
    <row r="2" spans="6:13" s="54" customFormat="1" ht="12.75" hidden="1">
      <c r="F2" s="90"/>
      <c r="M2" s="295"/>
    </row>
    <row r="3" spans="2:4" s="186" customFormat="1" ht="38.25" hidden="1">
      <c r="B3" s="187" t="s">
        <v>169</v>
      </c>
      <c r="C3" s="187" t="s">
        <v>86</v>
      </c>
      <c r="D3" s="187" t="s">
        <v>87</v>
      </c>
    </row>
    <row r="4" spans="1:4" s="54" customFormat="1" ht="12.75" hidden="1">
      <c r="A4" s="54">
        <v>1</v>
      </c>
      <c r="B4" s="296">
        <v>1</v>
      </c>
      <c r="C4" s="296">
        <v>0.85</v>
      </c>
      <c r="D4" s="296">
        <v>0.15</v>
      </c>
    </row>
    <row r="5" spans="1:6" s="54" customFormat="1" ht="12.75" hidden="1">
      <c r="A5" s="54">
        <v>2</v>
      </c>
      <c r="B5" s="296">
        <v>0.95</v>
      </c>
      <c r="C5" s="296">
        <v>0.85</v>
      </c>
      <c r="D5" s="296">
        <v>0.1</v>
      </c>
      <c r="F5" s="94" t="s">
        <v>242</v>
      </c>
    </row>
    <row r="6" spans="1:6" s="54" customFormat="1" ht="12.75" hidden="1">
      <c r="A6" s="54">
        <v>3</v>
      </c>
      <c r="B6" s="296">
        <v>0.95</v>
      </c>
      <c r="C6" s="296">
        <v>0.85</v>
      </c>
      <c r="D6" s="296">
        <v>0.1</v>
      </c>
      <c r="F6" s="296">
        <f>VLOOKUP(D1,A4:B24,2)</f>
        <v>0.95</v>
      </c>
    </row>
    <row r="7" spans="1:4" s="54" customFormat="1" ht="12.75" hidden="1">
      <c r="A7" s="54">
        <v>4</v>
      </c>
      <c r="B7" s="296">
        <v>0.95</v>
      </c>
      <c r="C7" s="296">
        <v>0.85</v>
      </c>
      <c r="D7" s="296">
        <v>0.1</v>
      </c>
    </row>
    <row r="8" spans="1:6" s="54" customFormat="1" ht="12.75" hidden="1">
      <c r="A8" s="54">
        <v>5</v>
      </c>
      <c r="B8" s="296">
        <v>0.95</v>
      </c>
      <c r="C8" s="297">
        <v>0.8075</v>
      </c>
      <c r="D8" s="297">
        <v>0.1425</v>
      </c>
      <c r="F8" s="54" t="s">
        <v>86</v>
      </c>
    </row>
    <row r="9" spans="1:6" s="54" customFormat="1" ht="12.75" hidden="1">
      <c r="A9" s="54">
        <v>6</v>
      </c>
      <c r="B9" s="296">
        <v>0.4</v>
      </c>
      <c r="C9" s="296">
        <v>0.85</v>
      </c>
      <c r="D9" s="296">
        <v>0.15</v>
      </c>
      <c r="F9" s="297">
        <f>VLOOKUP(D1,A4:D24,3)</f>
        <v>0.85</v>
      </c>
    </row>
    <row r="10" spans="1:4" s="54" customFormat="1" ht="12.75" hidden="1">
      <c r="A10" s="54">
        <v>7</v>
      </c>
      <c r="B10" s="296">
        <v>0.5</v>
      </c>
      <c r="C10" s="296">
        <v>0.85</v>
      </c>
      <c r="D10" s="296">
        <v>0.15</v>
      </c>
    </row>
    <row r="11" spans="1:6" s="54" customFormat="1" ht="12.75" hidden="1">
      <c r="A11" s="54">
        <v>8</v>
      </c>
      <c r="B11" s="296">
        <v>0.6</v>
      </c>
      <c r="C11" s="296">
        <v>0.85</v>
      </c>
      <c r="D11" s="296">
        <v>0.15</v>
      </c>
      <c r="F11" s="54" t="s">
        <v>87</v>
      </c>
    </row>
    <row r="12" spans="1:6" s="54" customFormat="1" ht="12.75" hidden="1">
      <c r="A12" s="54">
        <v>9</v>
      </c>
      <c r="B12" s="296">
        <v>0.5</v>
      </c>
      <c r="C12" s="296">
        <v>0.85</v>
      </c>
      <c r="D12" s="296">
        <v>0.15</v>
      </c>
      <c r="F12" s="297">
        <f>VLOOKUP(D1,A4:D24,4)</f>
        <v>0.1</v>
      </c>
    </row>
    <row r="13" spans="1:4" s="54" customFormat="1" ht="12.75" hidden="1">
      <c r="A13" s="54">
        <v>10</v>
      </c>
      <c r="B13" s="296">
        <v>0.6</v>
      </c>
      <c r="C13" s="296">
        <v>0.85</v>
      </c>
      <c r="D13" s="296">
        <v>0.15</v>
      </c>
    </row>
    <row r="14" spans="1:4" s="54" customFormat="1" ht="12.75" hidden="1">
      <c r="A14" s="54">
        <v>11</v>
      </c>
      <c r="B14" s="296">
        <v>0.7</v>
      </c>
      <c r="C14" s="296">
        <v>0.85</v>
      </c>
      <c r="D14" s="296">
        <v>0.15</v>
      </c>
    </row>
    <row r="15" spans="1:4" s="54" customFormat="1" ht="12.75" hidden="1">
      <c r="A15" s="54">
        <v>12</v>
      </c>
      <c r="B15" s="296">
        <v>0.5</v>
      </c>
      <c r="C15" s="296">
        <v>0.85</v>
      </c>
      <c r="D15" s="296">
        <v>0.15</v>
      </c>
    </row>
    <row r="16" spans="1:4" s="54" customFormat="1" ht="12.75" hidden="1">
      <c r="A16" s="54">
        <v>13</v>
      </c>
      <c r="B16" s="296">
        <v>0.6</v>
      </c>
      <c r="C16" s="296">
        <v>0.85</v>
      </c>
      <c r="D16" s="296">
        <v>0.15</v>
      </c>
    </row>
    <row r="17" spans="1:4" s="54" customFormat="1" ht="12.75" hidden="1">
      <c r="A17" s="54">
        <v>14</v>
      </c>
      <c r="B17" s="296">
        <v>0.7</v>
      </c>
      <c r="C17" s="296">
        <v>0.85</v>
      </c>
      <c r="D17" s="296">
        <v>0.15</v>
      </c>
    </row>
    <row r="18" spans="1:4" s="54" customFormat="1" ht="12.75" hidden="1">
      <c r="A18" s="54">
        <v>15</v>
      </c>
      <c r="B18" s="296">
        <v>0.35</v>
      </c>
      <c r="C18" s="296">
        <v>0.85</v>
      </c>
      <c r="D18" s="296">
        <v>0.15</v>
      </c>
    </row>
    <row r="19" spans="1:4" s="54" customFormat="1" ht="12.75" hidden="1">
      <c r="A19" s="54">
        <v>16</v>
      </c>
      <c r="B19" s="296">
        <v>0.45</v>
      </c>
      <c r="C19" s="296">
        <v>0.85</v>
      </c>
      <c r="D19" s="296">
        <v>0.15</v>
      </c>
    </row>
    <row r="20" spans="1:4" s="54" customFormat="1" ht="12.75" hidden="1">
      <c r="A20" s="54">
        <v>17</v>
      </c>
      <c r="B20" s="296">
        <v>0.55</v>
      </c>
      <c r="C20" s="296">
        <v>0.85</v>
      </c>
      <c r="D20" s="296">
        <v>0.15</v>
      </c>
    </row>
    <row r="21" spans="1:4" s="54" customFormat="1" ht="12.75" hidden="1">
      <c r="A21" s="54">
        <v>18</v>
      </c>
      <c r="B21" s="296">
        <v>0.45</v>
      </c>
      <c r="C21" s="296">
        <v>0.85</v>
      </c>
      <c r="D21" s="296">
        <v>0.15</v>
      </c>
    </row>
    <row r="22" spans="1:4" s="54" customFormat="1" ht="12.75" hidden="1">
      <c r="A22" s="54">
        <v>19</v>
      </c>
      <c r="B22" s="296">
        <v>0.55</v>
      </c>
      <c r="C22" s="296">
        <v>0.85</v>
      </c>
      <c r="D22" s="296">
        <v>0.15</v>
      </c>
    </row>
    <row r="23" spans="1:4" s="54" customFormat="1" ht="12.75" hidden="1">
      <c r="A23" s="54">
        <v>20</v>
      </c>
      <c r="B23" s="296">
        <v>0.65</v>
      </c>
      <c r="C23" s="296">
        <v>0.85</v>
      </c>
      <c r="D23" s="296">
        <v>0.15</v>
      </c>
    </row>
    <row r="24" spans="1:4" s="54" customFormat="1" ht="12.75" hidden="1">
      <c r="A24" s="54">
        <v>21</v>
      </c>
      <c r="B24" s="296">
        <f>O68</f>
        <v>0</v>
      </c>
      <c r="C24" s="296">
        <v>0.85</v>
      </c>
      <c r="D24" s="296">
        <v>0.15</v>
      </c>
    </row>
    <row r="25" s="54" customFormat="1" ht="12.75" hidden="1">
      <c r="B25" s="296"/>
    </row>
    <row r="26" spans="1:16" ht="20.25">
      <c r="A26" s="321" t="s">
        <v>81</v>
      </c>
      <c r="B26" s="321"/>
      <c r="C26" s="321"/>
      <c r="D26" s="321"/>
      <c r="E26" s="321"/>
      <c r="F26" s="321"/>
      <c r="G26" s="321"/>
      <c r="H26" s="321"/>
      <c r="I26" s="321"/>
      <c r="J26" s="321"/>
      <c r="K26" s="321"/>
      <c r="L26" s="321"/>
      <c r="M26" s="321"/>
      <c r="N26" s="321"/>
      <c r="O26" s="321"/>
      <c r="P26" s="321"/>
    </row>
    <row r="27" ht="13.5" thickBot="1"/>
    <row r="28" spans="2:16" ht="13.5" thickTop="1">
      <c r="B28" s="102"/>
      <c r="C28" s="103"/>
      <c r="D28" s="103"/>
      <c r="E28" s="103"/>
      <c r="F28" s="103"/>
      <c r="G28" s="104"/>
      <c r="I28" s="102"/>
      <c r="J28" s="103"/>
      <c r="K28" s="103"/>
      <c r="L28" s="103"/>
      <c r="M28" s="103"/>
      <c r="N28" s="103"/>
      <c r="O28" s="103"/>
      <c r="P28" s="104"/>
    </row>
    <row r="29" spans="2:16" ht="12.75">
      <c r="B29" s="322" t="s">
        <v>70</v>
      </c>
      <c r="C29" s="323"/>
      <c r="D29" s="323"/>
      <c r="E29" s="323"/>
      <c r="F29" s="323"/>
      <c r="G29" s="105"/>
      <c r="H29" s="95"/>
      <c r="I29" s="106"/>
      <c r="J29" s="323" t="s">
        <v>71</v>
      </c>
      <c r="K29" s="323"/>
      <c r="L29" s="323"/>
      <c r="M29" s="323"/>
      <c r="N29" s="323"/>
      <c r="O29" s="323"/>
      <c r="P29" s="108"/>
    </row>
    <row r="30" spans="2:16" ht="54" customHeight="1">
      <c r="B30" s="106"/>
      <c r="C30" s="96"/>
      <c r="D30" s="96"/>
      <c r="E30" s="96"/>
      <c r="F30" s="97" t="s">
        <v>124</v>
      </c>
      <c r="G30" s="107"/>
      <c r="H30" s="88"/>
      <c r="I30" s="93"/>
      <c r="J30" s="96"/>
      <c r="K30" s="96"/>
      <c r="L30" s="96"/>
      <c r="M30" s="96"/>
      <c r="N30" s="96"/>
      <c r="O30" s="97" t="s">
        <v>124</v>
      </c>
      <c r="P30" s="108"/>
    </row>
    <row r="31" spans="2:16" ht="12.75">
      <c r="B31" s="106"/>
      <c r="C31" s="96"/>
      <c r="D31" s="96"/>
      <c r="E31" s="96"/>
      <c r="F31" s="96"/>
      <c r="G31" s="108"/>
      <c r="I31" s="106"/>
      <c r="J31" s="96"/>
      <c r="K31" s="96"/>
      <c r="L31" s="96"/>
      <c r="M31" s="96"/>
      <c r="N31" s="96"/>
      <c r="O31" s="96"/>
      <c r="P31" s="108"/>
    </row>
    <row r="32" spans="2:16" ht="12.75">
      <c r="B32" s="106"/>
      <c r="C32" s="96" t="s">
        <v>73</v>
      </c>
      <c r="D32" s="96"/>
      <c r="E32" s="96"/>
      <c r="F32" s="98">
        <v>1</v>
      </c>
      <c r="G32" s="109"/>
      <c r="H32" s="89"/>
      <c r="I32" s="111"/>
      <c r="J32" s="96"/>
      <c r="K32" s="96" t="s">
        <v>74</v>
      </c>
      <c r="L32" s="96"/>
      <c r="M32" s="96"/>
      <c r="N32" s="96"/>
      <c r="O32" s="98">
        <v>0.95</v>
      </c>
      <c r="P32" s="108"/>
    </row>
    <row r="33" spans="2:16" ht="25.5">
      <c r="B33" s="106"/>
      <c r="C33" s="313" t="s">
        <v>305</v>
      </c>
      <c r="D33" s="96"/>
      <c r="E33" s="96"/>
      <c r="F33" s="98">
        <v>0.95</v>
      </c>
      <c r="G33" s="109"/>
      <c r="H33" s="89"/>
      <c r="I33" s="111"/>
      <c r="J33" s="96"/>
      <c r="K33" s="96"/>
      <c r="L33" s="96"/>
      <c r="M33" s="96"/>
      <c r="N33" s="96"/>
      <c r="O33" s="99"/>
      <c r="P33" s="108"/>
    </row>
    <row r="34" spans="2:16" ht="12.75">
      <c r="B34" s="106"/>
      <c r="C34" s="96" t="s">
        <v>72</v>
      </c>
      <c r="D34" s="96"/>
      <c r="E34" s="96"/>
      <c r="F34" s="98">
        <v>0.95</v>
      </c>
      <c r="G34" s="109"/>
      <c r="H34" s="89"/>
      <c r="I34" s="111"/>
      <c r="J34" s="96"/>
      <c r="K34" s="96"/>
      <c r="L34" s="96"/>
      <c r="M34" s="96"/>
      <c r="N34" s="96"/>
      <c r="O34" s="96"/>
      <c r="P34" s="108"/>
    </row>
    <row r="35" spans="2:16" ht="51">
      <c r="B35" s="106"/>
      <c r="C35" s="313" t="s">
        <v>307</v>
      </c>
      <c r="D35" s="96"/>
      <c r="E35" s="96"/>
      <c r="F35" s="98">
        <v>0.95</v>
      </c>
      <c r="G35" s="109"/>
      <c r="H35" s="89"/>
      <c r="I35" s="111"/>
      <c r="J35" s="96"/>
      <c r="K35" s="96" t="s">
        <v>243</v>
      </c>
      <c r="L35" s="96"/>
      <c r="M35" s="96"/>
      <c r="N35" s="96"/>
      <c r="O35" s="99"/>
      <c r="P35" s="108"/>
    </row>
    <row r="36" spans="2:16" ht="12.75">
      <c r="B36" s="106"/>
      <c r="C36" s="96"/>
      <c r="D36" s="96"/>
      <c r="E36" s="96"/>
      <c r="F36" s="96"/>
      <c r="G36" s="108"/>
      <c r="I36" s="106"/>
      <c r="J36" s="96"/>
      <c r="K36" s="96"/>
      <c r="L36" s="96"/>
      <c r="M36" s="96"/>
      <c r="N36" s="96"/>
      <c r="O36" s="99"/>
      <c r="P36" s="108"/>
    </row>
    <row r="37" spans="2:16" ht="12.75">
      <c r="B37" s="106"/>
      <c r="C37" s="96"/>
      <c r="D37" s="96"/>
      <c r="E37" s="96"/>
      <c r="F37" s="96"/>
      <c r="G37" s="108"/>
      <c r="I37" s="106"/>
      <c r="J37" s="96"/>
      <c r="K37" s="96" t="s">
        <v>76</v>
      </c>
      <c r="L37" s="96"/>
      <c r="M37" s="100"/>
      <c r="N37" s="96"/>
      <c r="O37" s="99"/>
      <c r="P37" s="108"/>
    </row>
    <row r="38" spans="2:16" ht="38.25">
      <c r="B38" s="106"/>
      <c r="C38" s="96"/>
      <c r="D38" s="96"/>
      <c r="E38" s="96"/>
      <c r="F38" s="96"/>
      <c r="G38" s="108"/>
      <c r="I38" s="106"/>
      <c r="J38" s="96"/>
      <c r="K38" s="96"/>
      <c r="L38" s="313" t="s">
        <v>306</v>
      </c>
      <c r="M38" s="96"/>
      <c r="N38" s="96"/>
      <c r="O38" s="298">
        <v>0.4</v>
      </c>
      <c r="P38" s="108"/>
    </row>
    <row r="39" spans="2:16" ht="12.75">
      <c r="B39" s="106"/>
      <c r="C39" s="96"/>
      <c r="D39" s="96"/>
      <c r="E39" s="96"/>
      <c r="F39" s="96"/>
      <c r="G39" s="108"/>
      <c r="I39" s="106"/>
      <c r="J39" s="96"/>
      <c r="K39" s="96"/>
      <c r="L39" s="96" t="s">
        <v>80</v>
      </c>
      <c r="M39" s="96"/>
      <c r="N39" s="96"/>
      <c r="O39" s="98">
        <v>0.5</v>
      </c>
      <c r="P39" s="108"/>
    </row>
    <row r="40" spans="2:16" ht="12.75">
      <c r="B40" s="106"/>
      <c r="C40" s="96"/>
      <c r="D40" s="96"/>
      <c r="E40" s="96"/>
      <c r="F40" s="96"/>
      <c r="G40" s="108"/>
      <c r="I40" s="106"/>
      <c r="J40" s="96"/>
      <c r="K40" s="96"/>
      <c r="L40" s="96" t="s">
        <v>79</v>
      </c>
      <c r="M40" s="96"/>
      <c r="N40" s="96"/>
      <c r="O40" s="98">
        <v>0.6</v>
      </c>
      <c r="P40" s="108"/>
    </row>
    <row r="41" spans="2:16" ht="12.75">
      <c r="B41" s="106"/>
      <c r="C41" s="96"/>
      <c r="D41" s="96"/>
      <c r="E41" s="96"/>
      <c r="F41" s="96"/>
      <c r="G41" s="108"/>
      <c r="I41" s="106"/>
      <c r="J41" s="96"/>
      <c r="K41" s="96"/>
      <c r="L41" s="96"/>
      <c r="M41" s="96"/>
      <c r="N41" s="96"/>
      <c r="O41" s="99"/>
      <c r="P41" s="108"/>
    </row>
    <row r="42" spans="2:16" ht="12.75">
      <c r="B42" s="106"/>
      <c r="C42" s="96"/>
      <c r="D42" s="96"/>
      <c r="E42" s="96"/>
      <c r="F42" s="96"/>
      <c r="G42" s="108"/>
      <c r="I42" s="106"/>
      <c r="J42" s="96"/>
      <c r="K42" s="96" t="s">
        <v>75</v>
      </c>
      <c r="L42" s="96"/>
      <c r="M42" s="100"/>
      <c r="N42" s="96"/>
      <c r="O42" s="99"/>
      <c r="P42" s="108"/>
    </row>
    <row r="43" spans="2:16" ht="38.25">
      <c r="B43" s="106"/>
      <c r="C43" s="96"/>
      <c r="D43" s="96"/>
      <c r="E43" s="96"/>
      <c r="F43" s="96"/>
      <c r="G43" s="108"/>
      <c r="I43" s="106"/>
      <c r="J43" s="96"/>
      <c r="K43" s="96"/>
      <c r="L43" s="313" t="s">
        <v>306</v>
      </c>
      <c r="M43" s="96"/>
      <c r="N43" s="96"/>
      <c r="O43" s="98">
        <v>0.5</v>
      </c>
      <c r="P43" s="108"/>
    </row>
    <row r="44" spans="2:16" ht="12.75">
      <c r="B44" s="106"/>
      <c r="C44" s="96"/>
      <c r="D44" s="96"/>
      <c r="E44" s="96"/>
      <c r="F44" s="96"/>
      <c r="G44" s="108"/>
      <c r="I44" s="106"/>
      <c r="J44" s="96"/>
      <c r="K44" s="96"/>
      <c r="L44" s="96" t="s">
        <v>80</v>
      </c>
      <c r="M44" s="96"/>
      <c r="N44" s="96"/>
      <c r="O44" s="98">
        <v>0.6</v>
      </c>
      <c r="P44" s="108"/>
    </row>
    <row r="45" spans="2:16" ht="12.75">
      <c r="B45" s="106"/>
      <c r="C45" s="96"/>
      <c r="D45" s="96"/>
      <c r="E45" s="96"/>
      <c r="F45" s="96"/>
      <c r="G45" s="108"/>
      <c r="I45" s="106"/>
      <c r="J45" s="96"/>
      <c r="K45" s="96"/>
      <c r="L45" s="96" t="s">
        <v>79</v>
      </c>
      <c r="M45" s="96"/>
      <c r="N45" s="96"/>
      <c r="O45" s="98">
        <v>0.7</v>
      </c>
      <c r="P45" s="108"/>
    </row>
    <row r="46" spans="2:16" ht="12.75">
      <c r="B46" s="106"/>
      <c r="C46" s="96"/>
      <c r="D46" s="96"/>
      <c r="E46" s="96"/>
      <c r="F46" s="96"/>
      <c r="G46" s="108"/>
      <c r="I46" s="106"/>
      <c r="J46" s="96"/>
      <c r="K46" s="96"/>
      <c r="L46" s="96"/>
      <c r="M46" s="100"/>
      <c r="N46" s="96"/>
      <c r="O46" s="99"/>
      <c r="P46" s="108"/>
    </row>
    <row r="47" spans="2:16" ht="12.75">
      <c r="B47" s="106"/>
      <c r="C47" s="96"/>
      <c r="D47" s="96"/>
      <c r="E47" s="96"/>
      <c r="F47" s="96"/>
      <c r="G47" s="108"/>
      <c r="I47" s="106"/>
      <c r="J47" s="96"/>
      <c r="K47" s="96" t="s">
        <v>77</v>
      </c>
      <c r="L47" s="96"/>
      <c r="M47" s="100"/>
      <c r="N47" s="96"/>
      <c r="O47" s="99"/>
      <c r="P47" s="108"/>
    </row>
    <row r="48" spans="2:16" ht="38.25">
      <c r="B48" s="106"/>
      <c r="C48" s="96"/>
      <c r="D48" s="96"/>
      <c r="E48" s="96"/>
      <c r="F48" s="96"/>
      <c r="G48" s="108"/>
      <c r="I48" s="106"/>
      <c r="J48" s="96"/>
      <c r="K48" s="96"/>
      <c r="L48" s="313" t="s">
        <v>306</v>
      </c>
      <c r="M48" s="96"/>
      <c r="N48" s="96"/>
      <c r="O48" s="98">
        <v>0.5</v>
      </c>
      <c r="P48" s="108"/>
    </row>
    <row r="49" spans="2:16" ht="12.75">
      <c r="B49" s="106"/>
      <c r="C49" s="96"/>
      <c r="D49" s="96"/>
      <c r="E49" s="96"/>
      <c r="F49" s="96"/>
      <c r="G49" s="108"/>
      <c r="I49" s="106"/>
      <c r="J49" s="96"/>
      <c r="K49" s="96"/>
      <c r="L49" s="96" t="s">
        <v>80</v>
      </c>
      <c r="M49" s="96"/>
      <c r="N49" s="96"/>
      <c r="O49" s="98">
        <v>0.6</v>
      </c>
      <c r="P49" s="108"/>
    </row>
    <row r="50" spans="2:16" ht="12.75">
      <c r="B50" s="106"/>
      <c r="C50" s="96"/>
      <c r="D50" s="96"/>
      <c r="E50" s="96"/>
      <c r="F50" s="96"/>
      <c r="G50" s="108"/>
      <c r="I50" s="106"/>
      <c r="J50" s="96"/>
      <c r="K50" s="96"/>
      <c r="L50" s="96" t="s">
        <v>79</v>
      </c>
      <c r="M50" s="96"/>
      <c r="N50" s="96"/>
      <c r="O50" s="98">
        <v>0.7</v>
      </c>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c r="L52" s="96"/>
      <c r="M52" s="96"/>
      <c r="N52" s="96"/>
      <c r="O52" s="96"/>
      <c r="P52" s="108"/>
    </row>
    <row r="53" spans="2:16" ht="12.75">
      <c r="B53" s="106"/>
      <c r="C53" s="96"/>
      <c r="D53" s="96"/>
      <c r="E53" s="96"/>
      <c r="F53" s="96"/>
      <c r="G53" s="108"/>
      <c r="I53" s="106"/>
      <c r="J53" s="96"/>
      <c r="K53" s="96" t="s">
        <v>244</v>
      </c>
      <c r="L53" s="96"/>
      <c r="M53" s="96"/>
      <c r="N53" s="96"/>
      <c r="O53" s="96"/>
      <c r="P53" s="108"/>
    </row>
    <row r="54" spans="2:16" ht="12.75">
      <c r="B54" s="106"/>
      <c r="C54" s="96"/>
      <c r="D54" s="96"/>
      <c r="E54" s="96"/>
      <c r="F54" s="96"/>
      <c r="G54" s="108"/>
      <c r="I54" s="106"/>
      <c r="J54" s="96"/>
      <c r="K54" s="96" t="s">
        <v>245</v>
      </c>
      <c r="L54" s="96"/>
      <c r="M54" s="96"/>
      <c r="N54" s="96"/>
      <c r="O54" s="96"/>
      <c r="P54" s="108"/>
    </row>
    <row r="55" spans="2:16" ht="12.75">
      <c r="B55" s="106"/>
      <c r="C55" s="96"/>
      <c r="D55" s="96"/>
      <c r="E55" s="96"/>
      <c r="F55" s="96"/>
      <c r="G55" s="108"/>
      <c r="I55" s="106"/>
      <c r="J55" s="96"/>
      <c r="K55" s="96"/>
      <c r="L55" s="96"/>
      <c r="M55" s="96"/>
      <c r="N55" s="96"/>
      <c r="O55" s="96"/>
      <c r="P55" s="108"/>
    </row>
    <row r="56" spans="2:16" ht="12.75">
      <c r="B56" s="106"/>
      <c r="C56" s="96"/>
      <c r="D56" s="96"/>
      <c r="E56" s="96"/>
      <c r="F56" s="96"/>
      <c r="G56" s="108"/>
      <c r="I56" s="106"/>
      <c r="J56" s="96"/>
      <c r="K56" s="96" t="s">
        <v>246</v>
      </c>
      <c r="L56" s="96"/>
      <c r="M56" s="96"/>
      <c r="N56" s="96"/>
      <c r="O56" s="96"/>
      <c r="P56" s="108"/>
    </row>
    <row r="57" spans="2:16" ht="12.75">
      <c r="B57" s="106"/>
      <c r="C57" s="96"/>
      <c r="D57" s="96"/>
      <c r="E57" s="96"/>
      <c r="F57" s="96"/>
      <c r="G57" s="108"/>
      <c r="I57" s="106"/>
      <c r="J57" s="96"/>
      <c r="K57" s="96" t="s">
        <v>247</v>
      </c>
      <c r="L57" s="96"/>
      <c r="M57" s="96"/>
      <c r="N57" s="96"/>
      <c r="O57" s="98"/>
      <c r="P57" s="108"/>
    </row>
    <row r="58" spans="2:16" ht="12.75">
      <c r="B58" s="106"/>
      <c r="C58" s="96"/>
      <c r="D58" s="96"/>
      <c r="E58" s="96"/>
      <c r="F58" s="96"/>
      <c r="G58" s="108"/>
      <c r="I58" s="106"/>
      <c r="J58" s="96"/>
      <c r="K58" s="96"/>
      <c r="L58" s="96" t="s">
        <v>78</v>
      </c>
      <c r="M58" s="96"/>
      <c r="N58" s="96"/>
      <c r="O58" s="98">
        <v>0.35</v>
      </c>
      <c r="P58" s="108"/>
    </row>
    <row r="59" spans="2:16" ht="12.75">
      <c r="B59" s="106"/>
      <c r="C59" s="96"/>
      <c r="D59" s="96"/>
      <c r="E59" s="96"/>
      <c r="F59" s="96"/>
      <c r="G59" s="108"/>
      <c r="I59" s="106"/>
      <c r="J59" s="96"/>
      <c r="K59" s="96"/>
      <c r="L59" s="96" t="s">
        <v>80</v>
      </c>
      <c r="M59" s="96"/>
      <c r="N59" s="96"/>
      <c r="O59" s="98">
        <v>0.45</v>
      </c>
      <c r="P59" s="108"/>
    </row>
    <row r="60" spans="2:16" ht="12.75">
      <c r="B60" s="106"/>
      <c r="C60" s="96"/>
      <c r="D60" s="96"/>
      <c r="E60" s="96"/>
      <c r="F60" s="96"/>
      <c r="G60" s="108"/>
      <c r="I60" s="106"/>
      <c r="J60" s="96"/>
      <c r="K60" s="96"/>
      <c r="L60" s="96" t="s">
        <v>79</v>
      </c>
      <c r="M60" s="96"/>
      <c r="N60" s="96"/>
      <c r="O60" s="98">
        <v>0.55</v>
      </c>
      <c r="P60" s="108"/>
    </row>
    <row r="61" spans="2:16" ht="12.75">
      <c r="B61" s="106"/>
      <c r="C61" s="96"/>
      <c r="D61" s="96"/>
      <c r="E61" s="96"/>
      <c r="F61" s="96"/>
      <c r="G61" s="108"/>
      <c r="I61" s="106"/>
      <c r="J61" s="96"/>
      <c r="K61" s="96"/>
      <c r="L61" s="96"/>
      <c r="M61" s="96"/>
      <c r="N61" s="96"/>
      <c r="O61" s="98"/>
      <c r="P61" s="108"/>
    </row>
    <row r="62" spans="2:16" ht="12.75">
      <c r="B62" s="106"/>
      <c r="C62" s="96"/>
      <c r="D62" s="96"/>
      <c r="E62" s="96"/>
      <c r="F62" s="96"/>
      <c r="G62" s="108"/>
      <c r="I62" s="106"/>
      <c r="J62" s="96"/>
      <c r="K62" s="96" t="s">
        <v>248</v>
      </c>
      <c r="L62" s="96"/>
      <c r="M62" s="96"/>
      <c r="N62" s="96"/>
      <c r="O62" s="98"/>
      <c r="P62" s="108"/>
    </row>
    <row r="63" spans="2:16" ht="12.75">
      <c r="B63" s="106"/>
      <c r="C63" s="96"/>
      <c r="D63" s="96"/>
      <c r="E63" s="96"/>
      <c r="F63" s="96"/>
      <c r="G63" s="108"/>
      <c r="I63" s="106"/>
      <c r="J63" s="96"/>
      <c r="K63" s="96"/>
      <c r="L63" s="96" t="s">
        <v>78</v>
      </c>
      <c r="M63" s="96"/>
      <c r="N63" s="96"/>
      <c r="O63" s="98">
        <v>0.45</v>
      </c>
      <c r="P63" s="108"/>
    </row>
    <row r="64" spans="2:16" ht="12.75">
      <c r="B64" s="106"/>
      <c r="C64" s="96"/>
      <c r="D64" s="96"/>
      <c r="E64" s="96"/>
      <c r="F64" s="96"/>
      <c r="G64" s="108"/>
      <c r="I64" s="106"/>
      <c r="J64" s="96"/>
      <c r="K64" s="96"/>
      <c r="L64" s="96" t="s">
        <v>80</v>
      </c>
      <c r="M64" s="96"/>
      <c r="N64" s="96"/>
      <c r="O64" s="98">
        <v>0.55</v>
      </c>
      <c r="P64" s="108"/>
    </row>
    <row r="65" spans="2:16" ht="12.75">
      <c r="B65" s="106"/>
      <c r="C65" s="96"/>
      <c r="D65" s="96"/>
      <c r="E65" s="96"/>
      <c r="F65" s="96"/>
      <c r="G65" s="108"/>
      <c r="I65" s="106"/>
      <c r="J65" s="96"/>
      <c r="K65" s="96"/>
      <c r="L65" s="96" t="s">
        <v>79</v>
      </c>
      <c r="M65" s="96"/>
      <c r="N65" s="96"/>
      <c r="O65" s="98">
        <v>0.65</v>
      </c>
      <c r="P65" s="108"/>
    </row>
    <row r="66" spans="2:16" ht="12.75">
      <c r="B66" s="106"/>
      <c r="C66" s="96"/>
      <c r="D66" s="96"/>
      <c r="E66" s="96"/>
      <c r="F66" s="96"/>
      <c r="G66" s="108"/>
      <c r="I66" s="106"/>
      <c r="J66" s="96"/>
      <c r="K66" s="96"/>
      <c r="L66" s="96"/>
      <c r="M66" s="96"/>
      <c r="N66" s="96"/>
      <c r="O66" s="98"/>
      <c r="P66" s="108"/>
    </row>
    <row r="67" spans="2:16" ht="13.5" thickBot="1">
      <c r="B67" s="106"/>
      <c r="C67" s="96"/>
      <c r="D67" s="96"/>
      <c r="E67" s="96"/>
      <c r="F67" s="96"/>
      <c r="G67" s="108"/>
      <c r="I67" s="106"/>
      <c r="J67" s="96"/>
      <c r="K67" s="96"/>
      <c r="L67" s="96"/>
      <c r="M67" s="96"/>
      <c r="N67" s="96"/>
      <c r="O67" s="98"/>
      <c r="P67" s="108"/>
    </row>
    <row r="68" spans="2:16" ht="13.5" thickBot="1">
      <c r="B68" s="106"/>
      <c r="C68" s="96"/>
      <c r="D68" s="96"/>
      <c r="E68" s="96"/>
      <c r="F68" s="96"/>
      <c r="G68" s="108"/>
      <c r="I68" s="106"/>
      <c r="J68" s="96"/>
      <c r="K68" s="86" t="s">
        <v>308</v>
      </c>
      <c r="L68" s="96"/>
      <c r="M68" s="96"/>
      <c r="N68" s="96"/>
      <c r="O68" s="314">
        <v>0</v>
      </c>
      <c r="P68" s="108"/>
    </row>
    <row r="69" spans="2:16" ht="12.75">
      <c r="B69" s="106"/>
      <c r="C69" s="96"/>
      <c r="D69" s="96"/>
      <c r="E69" s="96"/>
      <c r="F69" s="96"/>
      <c r="G69" s="108"/>
      <c r="I69" s="106"/>
      <c r="J69" s="96"/>
      <c r="K69" s="96" t="s">
        <v>309</v>
      </c>
      <c r="L69" s="96"/>
      <c r="M69" s="96"/>
      <c r="N69" s="96"/>
      <c r="O69" s="98"/>
      <c r="P69" s="108"/>
    </row>
    <row r="70" spans="2:16" ht="12.75">
      <c r="B70" s="106"/>
      <c r="C70" s="96"/>
      <c r="D70" s="96"/>
      <c r="E70" s="96"/>
      <c r="F70" s="96"/>
      <c r="G70" s="108"/>
      <c r="I70" s="106"/>
      <c r="J70" s="96"/>
      <c r="K70" s="96" t="s">
        <v>310</v>
      </c>
      <c r="L70" s="96"/>
      <c r="M70" s="96"/>
      <c r="N70" s="96"/>
      <c r="O70" s="98"/>
      <c r="P70" s="108"/>
    </row>
    <row r="71" spans="2:16" ht="12.75">
      <c r="B71" s="106"/>
      <c r="C71" s="96"/>
      <c r="D71" s="96"/>
      <c r="E71" s="96"/>
      <c r="F71" s="96"/>
      <c r="G71" s="108"/>
      <c r="I71" s="106"/>
      <c r="J71" s="96"/>
      <c r="K71" s="96"/>
      <c r="L71" s="96"/>
      <c r="M71" s="96"/>
      <c r="N71" s="96"/>
      <c r="O71" s="98"/>
      <c r="P71" s="108"/>
    </row>
    <row r="72" spans="2:16" ht="13.5" thickBot="1">
      <c r="B72" s="110"/>
      <c r="C72" s="91"/>
      <c r="D72" s="91"/>
      <c r="E72" s="91"/>
      <c r="F72" s="91"/>
      <c r="G72" s="92"/>
      <c r="I72" s="110"/>
      <c r="J72" s="91"/>
      <c r="K72" s="91"/>
      <c r="L72" s="91"/>
      <c r="M72" s="91"/>
      <c r="N72" s="91"/>
      <c r="O72" s="91"/>
      <c r="P72" s="92"/>
    </row>
    <row r="73" ht="13.5" thickTop="1"/>
    <row r="74" spans="9:16" ht="102" customHeight="1">
      <c r="I74" s="319" t="s">
        <v>173</v>
      </c>
      <c r="J74" s="320"/>
      <c r="K74" s="320"/>
      <c r="L74" s="320"/>
      <c r="M74" s="320"/>
      <c r="N74" s="320"/>
      <c r="O74" s="320"/>
      <c r="P74" s="320"/>
    </row>
  </sheetData>
  <sheetProtection password="DC64" sheet="1"/>
  <mergeCells count="4">
    <mergeCell ref="I74:P74"/>
    <mergeCell ref="A26:P26"/>
    <mergeCell ref="B29:F29"/>
    <mergeCell ref="J29:O29"/>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A11" sqref="A11"/>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155</v>
      </c>
      <c r="F1" s="170">
        <v>1</v>
      </c>
    </row>
    <row r="2" s="157" customFormat="1" ht="12.75" hidden="1"/>
    <row r="3" spans="2:5" s="157" customFormat="1" ht="12.75" hidden="1">
      <c r="B3" s="157">
        <v>1</v>
      </c>
      <c r="C3" s="171">
        <v>1</v>
      </c>
      <c r="E3" s="157" t="s">
        <v>156</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1" t="s">
        <v>157</v>
      </c>
      <c r="C11" s="321"/>
      <c r="D11" s="321"/>
      <c r="E11" s="321"/>
      <c r="F11" s="321"/>
      <c r="G11" s="321"/>
      <c r="H11" s="321"/>
      <c r="I11" s="321"/>
      <c r="J11" s="321"/>
      <c r="K11" s="321"/>
      <c r="L11" s="321"/>
      <c r="M11" s="321"/>
      <c r="N11" s="172"/>
      <c r="O11" s="172"/>
      <c r="P11" s="172"/>
      <c r="Q11" s="172"/>
      <c r="R11" s="172"/>
      <c r="S11" s="172"/>
    </row>
    <row r="12" spans="2:13" ht="12.75">
      <c r="B12" s="327" t="s">
        <v>170</v>
      </c>
      <c r="C12" s="327"/>
      <c r="D12" s="327"/>
      <c r="E12" s="327"/>
      <c r="F12" s="327"/>
      <c r="G12" s="327"/>
      <c r="H12" s="327"/>
      <c r="I12" s="327"/>
      <c r="J12" s="327"/>
      <c r="K12" s="327"/>
      <c r="L12" s="327"/>
      <c r="M12" s="327"/>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5" t="s">
        <v>158</v>
      </c>
      <c r="L15" s="325"/>
      <c r="M15" s="178"/>
    </row>
    <row r="16" spans="2:13" ht="12.75">
      <c r="B16" s="176"/>
      <c r="C16" s="177"/>
      <c r="D16" s="177"/>
      <c r="E16" s="177"/>
      <c r="F16" s="177"/>
      <c r="G16" s="177"/>
      <c r="H16" s="177"/>
      <c r="I16" s="177"/>
      <c r="J16" s="177"/>
      <c r="K16" s="177"/>
      <c r="L16" s="177"/>
      <c r="M16" s="178"/>
    </row>
    <row r="17" spans="2:13" ht="12.75">
      <c r="B17" s="176"/>
      <c r="C17" s="179" t="s">
        <v>159</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160</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161</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162</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163</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4" t="s">
        <v>171</v>
      </c>
      <c r="G27" s="324"/>
      <c r="H27" s="324"/>
      <c r="I27" s="324"/>
      <c r="J27" s="324"/>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164</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172</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165</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166</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167</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6" t="s">
        <v>168</v>
      </c>
      <c r="D41" s="326"/>
      <c r="E41" s="326"/>
      <c r="F41" s="326"/>
      <c r="G41" s="326"/>
      <c r="H41" s="326"/>
      <c r="I41" s="326"/>
      <c r="J41" s="326"/>
      <c r="K41" s="326"/>
      <c r="L41" s="326"/>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1" sqref="A1"/>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8" t="s">
        <v>234</v>
      </c>
      <c r="C1" s="328"/>
      <c r="D1" s="328"/>
      <c r="E1" s="328"/>
      <c r="F1" s="328"/>
      <c r="G1" s="328"/>
      <c r="H1" s="328"/>
      <c r="I1" s="328"/>
      <c r="J1" s="328"/>
      <c r="K1" s="328"/>
      <c r="L1" s="328"/>
      <c r="M1" s="328"/>
      <c r="N1" s="328"/>
      <c r="O1" s="328"/>
    </row>
    <row r="2" spans="1:15" s="53" customFormat="1" ht="12.75">
      <c r="A2" s="53" t="s">
        <v>4</v>
      </c>
      <c r="B2" s="328" t="s">
        <v>235</v>
      </c>
      <c r="C2" s="328"/>
      <c r="D2" s="328"/>
      <c r="E2" s="328"/>
      <c r="F2" s="328"/>
      <c r="G2" s="328"/>
      <c r="H2" s="328"/>
      <c r="I2" s="328"/>
      <c r="J2" s="328"/>
      <c r="K2" s="328"/>
      <c r="L2" s="328"/>
      <c r="M2" s="328"/>
      <c r="N2" s="328"/>
      <c r="O2" s="328"/>
    </row>
    <row r="3" spans="1:3" s="54" customFormat="1" ht="12.75" hidden="1">
      <c r="A3" s="54" t="s">
        <v>5</v>
      </c>
      <c r="B3" s="329"/>
      <c r="C3" s="329"/>
    </row>
    <row r="4" spans="2:9" s="54" customFormat="1" ht="12.75" hidden="1">
      <c r="B4" s="55"/>
      <c r="C4" s="55"/>
      <c r="E4" s="87"/>
      <c r="F4" s="94" t="s">
        <v>242</v>
      </c>
      <c r="I4" s="297">
        <f>PercentoNFP</f>
        <v>0.95</v>
      </c>
    </row>
    <row r="5" spans="1:9" s="54" customFormat="1" ht="12.75" hidden="1">
      <c r="A5" s="54" t="s">
        <v>2</v>
      </c>
      <c r="C5" s="125">
        <v>0.05</v>
      </c>
      <c r="F5" s="54" t="s">
        <v>88</v>
      </c>
      <c r="I5" s="56" t="str">
        <f>IF(KodTypuZiadatela=1,"štátny rozpočet",IF(KodTypuZiadatela&lt;5,"verejné zdroje","súkromné zdroje"))</f>
        <v>verejné zdroje</v>
      </c>
    </row>
    <row r="6" spans="1:9" s="54" customFormat="1" ht="12.75" hidden="1">
      <c r="A6" s="54" t="s">
        <v>62</v>
      </c>
      <c r="B6" s="57"/>
      <c r="C6" s="202">
        <f>NPV(C5,B41:AJ41)</f>
        <v>1557812.9445058217</v>
      </c>
      <c r="F6" s="54" t="s">
        <v>189</v>
      </c>
      <c r="I6" s="56" t="str">
        <f>IF(OR(KodTypuZiadatela&gt;5,CelkoveInvVydavky&lt;=1000000),"áno","nie")</f>
        <v>nie</v>
      </c>
    </row>
    <row r="7" spans="1:9" s="54" customFormat="1" ht="12.75" hidden="1">
      <c r="A7" s="54" t="s">
        <v>1</v>
      </c>
      <c r="B7" s="57"/>
      <c r="C7" s="202">
        <f>NPV(C5,B34:AJ34)</f>
        <v>156001.5121473182</v>
      </c>
      <c r="F7" s="54" t="s">
        <v>90</v>
      </c>
      <c r="I7" s="56" t="str">
        <f>IF(KodTypuZiadatela&gt;5,"áno","nie")</f>
        <v>nie</v>
      </c>
    </row>
    <row r="8" spans="1:3" s="54" customFormat="1" ht="12.75" hidden="1">
      <c r="A8" s="54" t="s">
        <v>52</v>
      </c>
      <c r="C8" s="185">
        <f>MAX(MIN(IF(C6=0,0,(C6-C7)/C6),1),0)*'Typ prevádzky'!E4</f>
        <v>0.8998586366241771</v>
      </c>
    </row>
    <row r="9" s="54" customFormat="1" ht="12.75" hidden="1"/>
    <row r="10" spans="1:4" s="309" customFormat="1" ht="12.75" hidden="1">
      <c r="A10" s="309" t="s">
        <v>106</v>
      </c>
      <c r="C10" s="310">
        <f>IF(I6="áno",IF(StatnaPomoc="áno",IF(C8&gt;0,I4,0),I4),I4*C8)</f>
        <v>0.8548657047929682</v>
      </c>
      <c r="D10" s="311"/>
    </row>
    <row r="11" spans="4:6" ht="12.75">
      <c r="D11" s="59"/>
      <c r="F11" s="59"/>
    </row>
    <row r="12" spans="1:6" ht="12.75">
      <c r="A12" s="60" t="s">
        <v>174</v>
      </c>
      <c r="D12" s="59"/>
      <c r="F12" s="59"/>
    </row>
    <row r="13" spans="1:6" ht="12.75">
      <c r="A13" s="61"/>
      <c r="B13" s="62"/>
      <c r="D13" s="59"/>
      <c r="F13" s="59"/>
    </row>
    <row r="14" spans="1:36" s="65" customFormat="1" ht="12.75">
      <c r="A14" s="63" t="s">
        <v>28</v>
      </c>
      <c r="B14" s="145">
        <v>2014</v>
      </c>
      <c r="C14" s="64">
        <f aca="true" t="shared" si="0" ref="C14:AJ14">B14+1</f>
        <v>2015</v>
      </c>
      <c r="D14" s="64">
        <f t="shared" si="0"/>
        <v>2016</v>
      </c>
      <c r="E14" s="64">
        <f t="shared" si="0"/>
        <v>2017</v>
      </c>
      <c r="F14" s="64">
        <f t="shared" si="0"/>
        <v>2018</v>
      </c>
      <c r="G14" s="64">
        <f t="shared" si="0"/>
        <v>2019</v>
      </c>
      <c r="H14" s="64">
        <f t="shared" si="0"/>
        <v>2020</v>
      </c>
      <c r="I14" s="64">
        <f t="shared" si="0"/>
        <v>2021</v>
      </c>
      <c r="J14" s="64">
        <f t="shared" si="0"/>
        <v>2022</v>
      </c>
      <c r="K14" s="64">
        <f t="shared" si="0"/>
        <v>2023</v>
      </c>
      <c r="L14" s="64">
        <f t="shared" si="0"/>
        <v>2024</v>
      </c>
      <c r="M14" s="64">
        <f t="shared" si="0"/>
        <v>2025</v>
      </c>
      <c r="N14" s="64">
        <f t="shared" si="0"/>
        <v>2026</v>
      </c>
      <c r="O14" s="64">
        <f t="shared" si="0"/>
        <v>2027</v>
      </c>
      <c r="P14" s="64">
        <f t="shared" si="0"/>
        <v>2028</v>
      </c>
      <c r="Q14" s="64">
        <f t="shared" si="0"/>
        <v>2029</v>
      </c>
      <c r="R14" s="64">
        <f t="shared" si="0"/>
        <v>2030</v>
      </c>
      <c r="S14" s="64">
        <f t="shared" si="0"/>
        <v>2031</v>
      </c>
      <c r="T14" s="64">
        <f t="shared" si="0"/>
        <v>2032</v>
      </c>
      <c r="U14" s="64">
        <f t="shared" si="0"/>
        <v>2033</v>
      </c>
      <c r="V14" s="64">
        <f t="shared" si="0"/>
        <v>2034</v>
      </c>
      <c r="W14" s="64">
        <f t="shared" si="0"/>
        <v>2035</v>
      </c>
      <c r="X14" s="64">
        <f t="shared" si="0"/>
        <v>2036</v>
      </c>
      <c r="Y14" s="64">
        <f t="shared" si="0"/>
        <v>2037</v>
      </c>
      <c r="Z14" s="64">
        <f t="shared" si="0"/>
        <v>2038</v>
      </c>
      <c r="AA14" s="64">
        <f t="shared" si="0"/>
        <v>2039</v>
      </c>
      <c r="AB14" s="64">
        <f t="shared" si="0"/>
        <v>2040</v>
      </c>
      <c r="AC14" s="64">
        <f t="shared" si="0"/>
        <v>2041</v>
      </c>
      <c r="AD14" s="64">
        <f t="shared" si="0"/>
        <v>2042</v>
      </c>
      <c r="AE14" s="64">
        <f t="shared" si="0"/>
        <v>2043</v>
      </c>
      <c r="AF14" s="64">
        <f t="shared" si="0"/>
        <v>2044</v>
      </c>
      <c r="AG14" s="64">
        <f t="shared" si="0"/>
        <v>2045</v>
      </c>
      <c r="AH14" s="64">
        <f t="shared" si="0"/>
        <v>2046</v>
      </c>
      <c r="AI14" s="64">
        <f t="shared" si="0"/>
        <v>2047</v>
      </c>
      <c r="AJ14" s="64">
        <f t="shared" si="0"/>
        <v>2048</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168398.40425914095</v>
      </c>
      <c r="C16" s="198">
        <f t="shared" si="1"/>
        <v>114263.08483496611</v>
      </c>
      <c r="D16" s="198">
        <f t="shared" si="1"/>
        <v>48008.58011392836</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571227.1317408591</v>
      </c>
      <c r="C17" s="198">
        <f t="shared" si="2"/>
        <v>568385.2057122977</v>
      </c>
      <c r="D17" s="198">
        <f t="shared" si="2"/>
        <v>282778.7093096009</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91</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32504.60393842745</v>
      </c>
      <c r="AI18" s="198">
        <f>'Príjmy z prevádzky'!AK37</f>
        <v>0</v>
      </c>
      <c r="AJ18" s="198">
        <f>'Príjmy z prevádzky'!AL37</f>
        <v>0</v>
      </c>
    </row>
    <row r="19" spans="1:36" ht="12.75">
      <c r="A19" s="69" t="s">
        <v>9</v>
      </c>
      <c r="B19" s="198">
        <f aca="true" t="shared" si="3" ref="B19:AJ19">SUM(B16:B18)</f>
        <v>739625.5360000001</v>
      </c>
      <c r="C19" s="198">
        <f t="shared" si="3"/>
        <v>682648.2905472638</v>
      </c>
      <c r="D19" s="198">
        <f t="shared" si="3"/>
        <v>346622.33267098764</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32504.60393842745</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103</v>
      </c>
      <c r="B21" s="198">
        <f>'Investičné výdavky'!C95</f>
        <v>668206.8640000001</v>
      </c>
      <c r="C21" s="198">
        <f>'Investičné výdavky'!C96</f>
        <v>664882.4517412937</v>
      </c>
      <c r="D21" s="198">
        <f>'Investičné výdavky'!C97</f>
        <v>330787.28942352923</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17765.838805970154</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92</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18999.72400104624</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430.8330144753831</v>
      </c>
      <c r="Q27" s="198">
        <f t="shared" si="4"/>
        <v>1313.791514475383</v>
      </c>
      <c r="R27" s="198">
        <f t="shared" si="4"/>
        <v>1157.1178765365175</v>
      </c>
      <c r="S27" s="198">
        <f t="shared" si="4"/>
        <v>1157.1178765365175</v>
      </c>
      <c r="T27" s="198">
        <f t="shared" si="4"/>
        <v>1157.1178765365175</v>
      </c>
      <c r="U27" s="198">
        <f t="shared" si="4"/>
        <v>1157.1178765365175</v>
      </c>
      <c r="V27" s="198">
        <f t="shared" si="4"/>
        <v>1157.1178765365175</v>
      </c>
      <c r="W27" s="198">
        <f t="shared" si="4"/>
        <v>1157.1178765365175</v>
      </c>
      <c r="X27" s="198">
        <f t="shared" si="4"/>
        <v>2128.4943939978853</v>
      </c>
      <c r="Y27" s="198">
        <f t="shared" si="4"/>
        <v>2409.253550163565</v>
      </c>
      <c r="Z27" s="198">
        <f t="shared" si="4"/>
        <v>2409.253550163565</v>
      </c>
      <c r="AA27" s="198">
        <f t="shared" si="4"/>
        <v>2409.253550163565</v>
      </c>
      <c r="AB27" s="198">
        <f t="shared" si="4"/>
        <v>2409.253550163565</v>
      </c>
      <c r="AC27" s="198">
        <f t="shared" si="4"/>
        <v>2409.253550163565</v>
      </c>
      <c r="AD27" s="198">
        <f t="shared" si="4"/>
        <v>2565.92718810243</v>
      </c>
      <c r="AE27" s="198">
        <f t="shared" si="4"/>
        <v>2565.92718810243</v>
      </c>
      <c r="AF27" s="198">
        <f t="shared" si="4"/>
        <v>2565.92718810243</v>
      </c>
      <c r="AG27" s="198">
        <f t="shared" si="4"/>
        <v>2565.92718810243</v>
      </c>
      <c r="AH27" s="198">
        <f t="shared" si="4"/>
        <v>2565.92718810243</v>
      </c>
      <c r="AI27" s="198">
        <f t="shared" si="4"/>
        <v>2565.92718810243</v>
      </c>
      <c r="AJ27" s="198">
        <f t="shared" si="4"/>
        <v>0</v>
      </c>
    </row>
    <row r="28" spans="1:36" s="54" customFormat="1" ht="12.75" hidden="1">
      <c r="A28" s="70" t="s">
        <v>121</v>
      </c>
      <c r="B28" s="201">
        <f aca="true" t="shared" si="5" ref="B28:AJ28">(B18-B24-B26-B44*(IF(SUM($B21:$I21)&gt;0,SUM($B16:$I16)/SUM($B21:$I21),0)))*0.19</f>
        <v>0</v>
      </c>
      <c r="C28" s="201">
        <f t="shared" si="5"/>
        <v>-4340.762691020848</v>
      </c>
      <c r="D28" s="201">
        <f t="shared" si="5"/>
        <v>-4776.03374058776</v>
      </c>
      <c r="E28" s="201">
        <f t="shared" si="5"/>
        <v>-2441.925028954699</v>
      </c>
      <c r="F28" s="201">
        <f t="shared" si="5"/>
        <v>-3096.0612708135377</v>
      </c>
      <c r="G28" s="201">
        <f t="shared" si="5"/>
        <v>-2934.552118339407</v>
      </c>
      <c r="H28" s="201">
        <f t="shared" si="5"/>
        <v>-2912.5431181353238</v>
      </c>
      <c r="I28" s="201">
        <f t="shared" si="5"/>
        <v>-2538.890337330822</v>
      </c>
      <c r="J28" s="201">
        <f t="shared" si="5"/>
        <v>-2538.890337330822</v>
      </c>
      <c r="K28" s="201">
        <f t="shared" si="5"/>
        <v>-2538.890337330822</v>
      </c>
      <c r="L28" s="201">
        <f t="shared" si="5"/>
        <v>-2538.890337330822</v>
      </c>
      <c r="M28" s="201">
        <f t="shared" si="5"/>
        <v>-2538.890337330822</v>
      </c>
      <c r="N28" s="201">
        <f t="shared" si="5"/>
        <v>-2557.8105373308217</v>
      </c>
      <c r="O28" s="201">
        <f t="shared" si="5"/>
        <v>430.8330144753831</v>
      </c>
      <c r="P28" s="201">
        <f t="shared" si="5"/>
        <v>1313.791514475383</v>
      </c>
      <c r="Q28" s="201">
        <f t="shared" si="5"/>
        <v>1157.1178765365175</v>
      </c>
      <c r="R28" s="201">
        <f t="shared" si="5"/>
        <v>1157.1178765365175</v>
      </c>
      <c r="S28" s="201">
        <f t="shared" si="5"/>
        <v>1157.1178765365175</v>
      </c>
      <c r="T28" s="201">
        <f t="shared" si="5"/>
        <v>1157.1178765365175</v>
      </c>
      <c r="U28" s="201">
        <f t="shared" si="5"/>
        <v>1157.1178765365175</v>
      </c>
      <c r="V28" s="201">
        <f t="shared" si="5"/>
        <v>1157.1178765365175</v>
      </c>
      <c r="W28" s="201">
        <f t="shared" si="5"/>
        <v>2128.4943939978853</v>
      </c>
      <c r="X28" s="201">
        <f t="shared" si="5"/>
        <v>2409.253550163565</v>
      </c>
      <c r="Y28" s="201">
        <f t="shared" si="5"/>
        <v>2409.253550163565</v>
      </c>
      <c r="Z28" s="201">
        <f t="shared" si="5"/>
        <v>2409.253550163565</v>
      </c>
      <c r="AA28" s="201">
        <f t="shared" si="5"/>
        <v>2409.253550163565</v>
      </c>
      <c r="AB28" s="201">
        <f t="shared" si="5"/>
        <v>2409.253550163565</v>
      </c>
      <c r="AC28" s="201">
        <f t="shared" si="5"/>
        <v>2565.92718810243</v>
      </c>
      <c r="AD28" s="201">
        <f t="shared" si="5"/>
        <v>2565.92718810243</v>
      </c>
      <c r="AE28" s="201">
        <f t="shared" si="5"/>
        <v>2565.92718810243</v>
      </c>
      <c r="AF28" s="201">
        <f t="shared" si="5"/>
        <v>2565.92718810243</v>
      </c>
      <c r="AG28" s="201">
        <f t="shared" si="5"/>
        <v>2565.92718810243</v>
      </c>
      <c r="AH28" s="201">
        <f t="shared" si="5"/>
        <v>2565.92718810243</v>
      </c>
      <c r="AI28" s="201">
        <f t="shared" si="5"/>
        <v>0</v>
      </c>
      <c r="AJ28" s="201">
        <f t="shared" si="5"/>
        <v>0</v>
      </c>
    </row>
    <row r="29" spans="1:36" ht="12.75">
      <c r="A29" s="69" t="s">
        <v>12</v>
      </c>
      <c r="B29" s="198">
        <f aca="true" t="shared" si="6" ref="B29:AJ29">SUM(B21:B27)</f>
        <v>739625.5360000001</v>
      </c>
      <c r="C29" s="198">
        <f t="shared" si="6"/>
        <v>682648.2905472638</v>
      </c>
      <c r="D29" s="198">
        <f t="shared" si="6"/>
        <v>347435.5531625731</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19430.557015521623</v>
      </c>
      <c r="Q29" s="198">
        <f t="shared" si="6"/>
        <v>20313.515515521623</v>
      </c>
      <c r="R29" s="198">
        <f t="shared" si="6"/>
        <v>69947.72187758276</v>
      </c>
      <c r="S29" s="198">
        <f t="shared" si="6"/>
        <v>20156.84187758276</v>
      </c>
      <c r="T29" s="198">
        <f t="shared" si="6"/>
        <v>20156.84187758276</v>
      </c>
      <c r="U29" s="198">
        <f t="shared" si="6"/>
        <v>20156.84187758276</v>
      </c>
      <c r="V29" s="198">
        <f t="shared" si="6"/>
        <v>20156.84187758276</v>
      </c>
      <c r="W29" s="198">
        <f t="shared" si="6"/>
        <v>20156.84187758276</v>
      </c>
      <c r="X29" s="198">
        <f t="shared" si="6"/>
        <v>21128.218395044125</v>
      </c>
      <c r="Y29" s="198">
        <f t="shared" si="6"/>
        <v>21408.977551209806</v>
      </c>
      <c r="Z29" s="198">
        <f t="shared" si="6"/>
        <v>21408.977551209806</v>
      </c>
      <c r="AA29" s="198">
        <f t="shared" si="6"/>
        <v>21408.977551209806</v>
      </c>
      <c r="AB29" s="198">
        <f t="shared" si="6"/>
        <v>21408.977551209806</v>
      </c>
      <c r="AC29" s="198">
        <f t="shared" si="6"/>
        <v>21408.977551209806</v>
      </c>
      <c r="AD29" s="198">
        <f t="shared" si="6"/>
        <v>21565.65118914867</v>
      </c>
      <c r="AE29" s="198">
        <f t="shared" si="6"/>
        <v>21565.65118914867</v>
      </c>
      <c r="AF29" s="198">
        <f t="shared" si="6"/>
        <v>21565.65118914867</v>
      </c>
      <c r="AG29" s="198">
        <f t="shared" si="6"/>
        <v>21565.65118914867</v>
      </c>
      <c r="AH29" s="198">
        <f t="shared" si="6"/>
        <v>21565.65118914867</v>
      </c>
      <c r="AI29" s="198">
        <f t="shared" si="6"/>
        <v>2565.92718810243</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13074.046922905829</v>
      </c>
      <c r="Q31" s="198">
        <f t="shared" si="7"/>
        <v>12191.088422905828</v>
      </c>
      <c r="R31" s="198">
        <f t="shared" si="7"/>
        <v>-37443.117939155316</v>
      </c>
      <c r="S31" s="198">
        <f t="shared" si="7"/>
        <v>12347.762060844692</v>
      </c>
      <c r="T31" s="198">
        <f t="shared" si="7"/>
        <v>12347.762060844692</v>
      </c>
      <c r="U31" s="198">
        <f t="shared" si="7"/>
        <v>12347.762060844692</v>
      </c>
      <c r="V31" s="198">
        <f t="shared" si="7"/>
        <v>12347.762060844692</v>
      </c>
      <c r="W31" s="198">
        <f t="shared" si="7"/>
        <v>12347.762060844692</v>
      </c>
      <c r="X31" s="198">
        <f t="shared" si="7"/>
        <v>11376.385543383327</v>
      </c>
      <c r="Y31" s="198">
        <f t="shared" si="7"/>
        <v>11095.626387217646</v>
      </c>
      <c r="Z31" s="198">
        <f t="shared" si="7"/>
        <v>11095.626387217646</v>
      </c>
      <c r="AA31" s="198">
        <f t="shared" si="7"/>
        <v>11095.626387217646</v>
      </c>
      <c r="AB31" s="198">
        <f t="shared" si="7"/>
        <v>11095.626387217646</v>
      </c>
      <c r="AC31" s="198">
        <f t="shared" si="7"/>
        <v>11095.626387217646</v>
      </c>
      <c r="AD31" s="198">
        <f t="shared" si="7"/>
        <v>10938.952749278782</v>
      </c>
      <c r="AE31" s="198">
        <f t="shared" si="7"/>
        <v>10938.952749278782</v>
      </c>
      <c r="AF31" s="198">
        <f t="shared" si="7"/>
        <v>10938.952749278782</v>
      </c>
      <c r="AG31" s="198">
        <f t="shared" si="7"/>
        <v>10938.952749278782</v>
      </c>
      <c r="AH31" s="198">
        <f t="shared" si="7"/>
        <v>10938.952749278782</v>
      </c>
      <c r="AI31" s="198">
        <f t="shared" si="7"/>
        <v>-2565.92718810243</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45736.55100616331</v>
      </c>
      <c r="Q32" s="206">
        <f t="shared" si="8"/>
        <v>57927.63942906914</v>
      </c>
      <c r="R32" s="206">
        <f t="shared" si="8"/>
        <v>20484.521489913823</v>
      </c>
      <c r="S32" s="206">
        <f t="shared" si="8"/>
        <v>32832.28355075851</v>
      </c>
      <c r="T32" s="206">
        <f t="shared" si="8"/>
        <v>45180.0456116032</v>
      </c>
      <c r="U32" s="206">
        <f t="shared" si="8"/>
        <v>57527.80767244789</v>
      </c>
      <c r="V32" s="206">
        <f t="shared" si="8"/>
        <v>69875.56973329258</v>
      </c>
      <c r="W32" s="206">
        <f t="shared" si="8"/>
        <v>82223.33179413727</v>
      </c>
      <c r="X32" s="206">
        <f t="shared" si="8"/>
        <v>93599.71733752059</v>
      </c>
      <c r="Y32" s="206">
        <f t="shared" si="8"/>
        <v>104695.34372473824</v>
      </c>
      <c r="Z32" s="206">
        <f t="shared" si="8"/>
        <v>115790.97011195589</v>
      </c>
      <c r="AA32" s="206">
        <f t="shared" si="8"/>
        <v>126886.59649917354</v>
      </c>
      <c r="AB32" s="206">
        <f t="shared" si="8"/>
        <v>137982.2228863912</v>
      </c>
      <c r="AC32" s="206">
        <f t="shared" si="8"/>
        <v>149077.84927360882</v>
      </c>
      <c r="AD32" s="206">
        <f t="shared" si="8"/>
        <v>160016.8020228876</v>
      </c>
      <c r="AE32" s="206">
        <f t="shared" si="8"/>
        <v>170955.75477216637</v>
      </c>
      <c r="AF32" s="206">
        <f t="shared" si="8"/>
        <v>181894.70752144515</v>
      </c>
      <c r="AG32" s="206">
        <f>AF32+AG31</f>
        <v>192833.66027072392</v>
      </c>
      <c r="AH32" s="206">
        <f>AG32+AH31</f>
        <v>203772.6130200027</v>
      </c>
      <c r="AI32" s="206">
        <f>AH32+AI31</f>
        <v>201206.68583190028</v>
      </c>
      <c r="AJ32" s="206">
        <f>AI32+AJ31</f>
        <v>201206.68583190028</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13504.87993738121</v>
      </c>
      <c r="AH34" s="70">
        <f>AH18-AH24-AH23+AH42</f>
        <v>18483.96993738121</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0</v>
      </c>
      <c r="AI35" s="73">
        <f t="shared" si="10"/>
        <v>-1</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0</v>
      </c>
      <c r="AI36" s="73">
        <f t="shared" si="11"/>
        <v>-1</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v>
      </c>
      <c r="AH37" s="73">
        <f>AH34/AG34-1</f>
        <v>0.3686882092315378</v>
      </c>
      <c r="AI37" s="73">
        <f>AI34/AH34-1</f>
        <v>-1</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198">
        <f>'Investičné výdavky'!G95</f>
        <v>22571.864</v>
      </c>
      <c r="C40" s="198">
        <f>'Investičné výdavky'!G96</f>
        <v>22459.566169154234</v>
      </c>
      <c r="D40" s="198">
        <f>'Investičné výdavky'!G97</f>
        <v>11173.913516992157</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660188.7243781096</v>
      </c>
      <c r="D41" s="201">
        <f t="shared" si="13"/>
        <v>319613.37590653705</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4979.09</v>
      </c>
      <c r="AI42" s="200">
        <v>0</v>
      </c>
      <c r="AJ42" s="200">
        <v>0</v>
      </c>
    </row>
    <row r="43" spans="1:36" ht="12.75">
      <c r="A43" s="68" t="s">
        <v>266</v>
      </c>
      <c r="B43" s="308">
        <v>0</v>
      </c>
      <c r="C43" s="308">
        <v>0</v>
      </c>
      <c r="D43" s="308">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-682648.2905472638</v>
      </c>
      <c r="D46" s="70">
        <f t="shared" si="14"/>
        <v>-331600.5099151147</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13504.87993738121</v>
      </c>
      <c r="AH46" s="70">
        <f t="shared" si="14"/>
        <v>18483.96993738121</v>
      </c>
      <c r="AI46" s="70">
        <f t="shared" si="14"/>
        <v>0</v>
      </c>
      <c r="AJ46" s="70">
        <f t="shared" si="14"/>
        <v>0</v>
      </c>
    </row>
    <row r="47" spans="1:36" s="54" customFormat="1" ht="12.75" hidden="1">
      <c r="A47" s="70" t="s">
        <v>17</v>
      </c>
      <c r="B47" s="70">
        <f>B18+B42-(B16+B23+B24+B43)</f>
        <v>-168398.40425914095</v>
      </c>
      <c r="C47" s="70">
        <f aca="true" t="shared" si="15" ref="C47:AJ47">C18+C42-(C16+C23+C24+C43)</f>
        <v>-114263.08483496611</v>
      </c>
      <c r="D47" s="70">
        <f t="shared" si="15"/>
        <v>-48821.80060551378</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13504.87993738121</v>
      </c>
      <c r="AH47" s="70">
        <f t="shared" si="15"/>
        <v>18483.96993738121</v>
      </c>
      <c r="AI47" s="70">
        <f t="shared" si="15"/>
        <v>0</v>
      </c>
      <c r="AJ47" s="70">
        <f t="shared" si="15"/>
        <v>0</v>
      </c>
    </row>
    <row r="48" spans="1:36" s="54" customFormat="1" ht="12.75" hidden="1">
      <c r="A48" s="70" t="s">
        <v>109</v>
      </c>
      <c r="B48" s="70">
        <f>B46</f>
        <v>-739625.5360000001</v>
      </c>
      <c r="C48" s="70">
        <f>B48+C46</f>
        <v>-1422273.826547264</v>
      </c>
      <c r="D48" s="70">
        <f aca="true" t="shared" si="16" ref="D48:AJ48">C48+D46</f>
        <v>-1753874.3364623785</v>
      </c>
      <c r="E48" s="70">
        <f t="shared" si="16"/>
        <v>-1742402.7742611584</v>
      </c>
      <c r="F48" s="70">
        <f>E48+F46</f>
        <v>-1729726.884385511</v>
      </c>
      <c r="G48" s="70">
        <f>F48+G46</f>
        <v>-1716200.9463389472</v>
      </c>
      <c r="H48" s="70">
        <f t="shared" si="16"/>
        <v>-1702559.171449204</v>
      </c>
      <c r="I48" s="70">
        <f t="shared" si="16"/>
        <v>-1688954.7115118229</v>
      </c>
      <c r="J48" s="70">
        <f t="shared" si="16"/>
        <v>-1675350.2515744418</v>
      </c>
      <c r="K48" s="70">
        <f t="shared" si="16"/>
        <v>-1661745.7916370607</v>
      </c>
      <c r="L48" s="70">
        <f t="shared" si="16"/>
        <v>-1648141.3316996796</v>
      </c>
      <c r="M48" s="70">
        <f t="shared" si="16"/>
        <v>-1634536.8717622985</v>
      </c>
      <c r="N48" s="70">
        <f t="shared" si="16"/>
        <v>-1621031.9918249173</v>
      </c>
      <c r="O48" s="70">
        <f t="shared" si="16"/>
        <v>-1607527.111887536</v>
      </c>
      <c r="P48" s="70">
        <f t="shared" si="16"/>
        <v>-1594022.2319501548</v>
      </c>
      <c r="Q48" s="70">
        <f t="shared" si="16"/>
        <v>-1580517.3520127735</v>
      </c>
      <c r="R48" s="70">
        <f t="shared" si="16"/>
        <v>-1616803.3520753924</v>
      </c>
      <c r="S48" s="70">
        <f t="shared" si="16"/>
        <v>-1603298.4721380111</v>
      </c>
      <c r="T48" s="70">
        <f t="shared" si="16"/>
        <v>-1589793.5922006299</v>
      </c>
      <c r="U48" s="70">
        <f t="shared" si="16"/>
        <v>-1576288.7122632486</v>
      </c>
      <c r="V48" s="70">
        <f t="shared" si="16"/>
        <v>-1562783.8323258674</v>
      </c>
      <c r="W48" s="70">
        <f t="shared" si="16"/>
        <v>-1549278.9523884861</v>
      </c>
      <c r="X48" s="70">
        <f t="shared" si="16"/>
        <v>-1535774.0724511049</v>
      </c>
      <c r="Y48" s="70">
        <f t="shared" si="16"/>
        <v>-1522269.1925137236</v>
      </c>
      <c r="Z48" s="70">
        <f t="shared" si="16"/>
        <v>-1508764.3125763424</v>
      </c>
      <c r="AA48" s="70">
        <f t="shared" si="16"/>
        <v>-1495259.4326389611</v>
      </c>
      <c r="AB48" s="70">
        <f t="shared" si="16"/>
        <v>-1481754.5527015799</v>
      </c>
      <c r="AC48" s="70">
        <f t="shared" si="16"/>
        <v>-1468249.6727641986</v>
      </c>
      <c r="AD48" s="70">
        <f t="shared" si="16"/>
        <v>-1454744.7928268174</v>
      </c>
      <c r="AE48" s="70">
        <f t="shared" si="16"/>
        <v>-1441239.9128894361</v>
      </c>
      <c r="AF48" s="70">
        <f t="shared" si="16"/>
        <v>-1427735.0329520549</v>
      </c>
      <c r="AG48" s="70">
        <f t="shared" si="16"/>
        <v>-1414230.1530146736</v>
      </c>
      <c r="AH48" s="70">
        <f t="shared" si="16"/>
        <v>-1395746.1830772925</v>
      </c>
      <c r="AI48" s="70">
        <f t="shared" si="16"/>
        <v>-1395746.1830772925</v>
      </c>
      <c r="AJ48" s="70">
        <f t="shared" si="16"/>
        <v>-1395746.1830772925</v>
      </c>
    </row>
    <row r="49" spans="1:36" s="54" customFormat="1" ht="12.75" hidden="1">
      <c r="A49" s="70" t="s">
        <v>108</v>
      </c>
      <c r="B49" s="70">
        <f>B47</f>
        <v>-168398.40425914095</v>
      </c>
      <c r="C49" s="70">
        <f>B49+C47</f>
        <v>-282661.48909410706</v>
      </c>
      <c r="D49" s="70">
        <f aca="true" t="shared" si="17" ref="D49:AJ49">C49+D47</f>
        <v>-331483.28969962086</v>
      </c>
      <c r="E49" s="70">
        <f t="shared" si="17"/>
        <v>-320011.7274984007</v>
      </c>
      <c r="F49" s="70">
        <f>E49+F47</f>
        <v>-307335.8376227534</v>
      </c>
      <c r="G49" s="70">
        <f>F49+G47</f>
        <v>-293809.8995761896</v>
      </c>
      <c r="H49" s="70">
        <f t="shared" si="17"/>
        <v>-280168.1246864464</v>
      </c>
      <c r="I49" s="70">
        <f t="shared" si="17"/>
        <v>-266563.6647490652</v>
      </c>
      <c r="J49" s="70">
        <f t="shared" si="17"/>
        <v>-252959.20481168397</v>
      </c>
      <c r="K49" s="70">
        <f t="shared" si="17"/>
        <v>-239354.74487430276</v>
      </c>
      <c r="L49" s="70">
        <f t="shared" si="17"/>
        <v>-225750.28493692155</v>
      </c>
      <c r="M49" s="70">
        <f t="shared" si="17"/>
        <v>-212145.82499954035</v>
      </c>
      <c r="N49" s="70">
        <f t="shared" si="17"/>
        <v>-198640.94506215912</v>
      </c>
      <c r="O49" s="70">
        <f t="shared" si="17"/>
        <v>-185136.0651247779</v>
      </c>
      <c r="P49" s="70">
        <f t="shared" si="17"/>
        <v>-171631.18518739668</v>
      </c>
      <c r="Q49" s="70">
        <f t="shared" si="17"/>
        <v>-158126.30525001546</v>
      </c>
      <c r="R49" s="70">
        <f t="shared" si="17"/>
        <v>-194412.30531263427</v>
      </c>
      <c r="S49" s="70">
        <f t="shared" si="17"/>
        <v>-180907.42537525305</v>
      </c>
      <c r="T49" s="70">
        <f t="shared" si="17"/>
        <v>-167402.54543787183</v>
      </c>
      <c r="U49" s="70">
        <f t="shared" si="17"/>
        <v>-153897.6655004906</v>
      </c>
      <c r="V49" s="70">
        <f t="shared" si="17"/>
        <v>-140392.78556310938</v>
      </c>
      <c r="W49" s="70">
        <f t="shared" si="17"/>
        <v>-126887.90562572818</v>
      </c>
      <c r="X49" s="70">
        <f t="shared" si="17"/>
        <v>-113383.02568834697</v>
      </c>
      <c r="Y49" s="70">
        <f t="shared" si="17"/>
        <v>-99878.14575096576</v>
      </c>
      <c r="Z49" s="70">
        <f t="shared" si="17"/>
        <v>-86373.26581358456</v>
      </c>
      <c r="AA49" s="70">
        <f t="shared" si="17"/>
        <v>-72868.38587620335</v>
      </c>
      <c r="AB49" s="70">
        <f t="shared" si="17"/>
        <v>-59363.50593882214</v>
      </c>
      <c r="AC49" s="70">
        <f t="shared" si="17"/>
        <v>-45858.626001440934</v>
      </c>
      <c r="AD49" s="70">
        <f t="shared" si="17"/>
        <v>-32353.746064059724</v>
      </c>
      <c r="AE49" s="70">
        <f t="shared" si="17"/>
        <v>-18848.866126678513</v>
      </c>
      <c r="AF49" s="70">
        <f t="shared" si="17"/>
        <v>-5343.986189297302</v>
      </c>
      <c r="AG49" s="70">
        <f t="shared" si="17"/>
        <v>8160.893748083909</v>
      </c>
      <c r="AH49" s="70">
        <f t="shared" si="17"/>
        <v>26644.86368546512</v>
      </c>
      <c r="AI49" s="70">
        <f t="shared" si="17"/>
        <v>26644.86368546512</v>
      </c>
      <c r="AJ49" s="70">
        <f t="shared" si="17"/>
        <v>26644.86368546512</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-0.07519126270800391</v>
      </c>
      <c r="C54" s="147" t="s">
        <v>19</v>
      </c>
      <c r="D54" s="148">
        <f>IRR(B47:AJ47,0.06)</f>
        <v>0.004511470718253641</v>
      </c>
      <c r="E54" s="70"/>
      <c r="G54" s="147" t="s">
        <v>112</v>
      </c>
      <c r="H54" s="146" t="str">
        <f>IF(SUM(B51:AJ51)&gt;=35,"&gt;35 rokov",SUM(B51:AJ51)&amp;" rokov")</f>
        <v>&gt;35 rokov</v>
      </c>
      <c r="J54" s="70"/>
      <c r="K54" s="147" t="s">
        <v>113</v>
      </c>
      <c r="L54" s="146" t="str">
        <f>IF(SUM(B52:AJ52)&gt;=35,"&gt;35 rokov",SUM(B52:AJ52)&amp;" rokov")</f>
        <v>31 rokov</v>
      </c>
      <c r="M54" s="54" t="s">
        <v>120</v>
      </c>
      <c r="N54" s="146">
        <f>SUMIF(B24:AJ24,"&lt;&gt;0")/COUNTIF(B24:AJ24,"&lt;&gt;0")+SUMIF(C23:AJ23,"&lt;&gt;0")/COUNTIF(B24:AJ24,"&lt;&gt;0")</f>
        <v>20486.26923302903</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G13" sqref="G13"/>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175</v>
      </c>
    </row>
    <row r="2" ht="12.75"/>
    <row r="3" spans="1:5" ht="12.75" customHeight="1">
      <c r="A3" s="361" t="s">
        <v>296</v>
      </c>
      <c r="B3" s="361"/>
      <c r="C3" s="361"/>
      <c r="D3" s="361"/>
      <c r="E3" s="361"/>
    </row>
    <row r="4" spans="1:5" ht="52.5" customHeight="1">
      <c r="A4" s="127" t="s">
        <v>93</v>
      </c>
      <c r="B4" s="128" t="s">
        <v>176</v>
      </c>
      <c r="C4" s="128" t="s">
        <v>177</v>
      </c>
      <c r="D4" s="128" t="s">
        <v>178</v>
      </c>
      <c r="E4" s="129" t="s">
        <v>94</v>
      </c>
    </row>
    <row r="5" spans="1:5" ht="26.25" customHeight="1">
      <c r="A5" s="130" t="s">
        <v>123</v>
      </c>
      <c r="B5" s="279">
        <v>1614087.5</v>
      </c>
      <c r="C5" s="279">
        <v>59417.11</v>
      </c>
      <c r="D5" s="189">
        <f>B5+C5</f>
        <v>1673504.61</v>
      </c>
      <c r="E5" s="203">
        <f>B5/B$10</f>
        <v>0.9662202452323208</v>
      </c>
    </row>
    <row r="6" spans="1:5" ht="26.25" customHeight="1">
      <c r="A6" s="130" t="s">
        <v>95</v>
      </c>
      <c r="B6" s="279">
        <v>39832.7</v>
      </c>
      <c r="C6" s="279">
        <v>0</v>
      </c>
      <c r="D6" s="189">
        <f>B6+C6</f>
        <v>39832.7</v>
      </c>
      <c r="E6" s="203">
        <f>B6/B$10</f>
        <v>0.02384453207293004</v>
      </c>
    </row>
    <row r="7" spans="1:5" ht="26.25" customHeight="1">
      <c r="A7" s="130" t="s">
        <v>125</v>
      </c>
      <c r="B7" s="279">
        <v>16596.96</v>
      </c>
      <c r="C7" s="279">
        <v>0</v>
      </c>
      <c r="D7" s="189">
        <f>B7+C7</f>
        <v>16596.96</v>
      </c>
      <c r="E7" s="203">
        <f>B7/B$10</f>
        <v>0.009935222694749212</v>
      </c>
    </row>
    <row r="8" spans="1:5" ht="26.25" customHeight="1">
      <c r="A8" s="130" t="s">
        <v>196</v>
      </c>
      <c r="B8" s="203"/>
      <c r="C8" s="188">
        <v>29856.23</v>
      </c>
      <c r="D8" s="189">
        <f>C8</f>
        <v>29856.23</v>
      </c>
      <c r="E8" s="203"/>
    </row>
    <row r="9" spans="1:5" ht="26.25" customHeight="1">
      <c r="A9" s="130" t="s">
        <v>197</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96</v>
      </c>
    </row>
    <row r="14" ht="12.75"/>
    <row r="15" spans="1:5" ht="38.25">
      <c r="A15" s="131" t="s">
        <v>97</v>
      </c>
      <c r="B15" s="128" t="s">
        <v>98</v>
      </c>
      <c r="C15" s="128" t="s">
        <v>176</v>
      </c>
      <c r="D15" s="128" t="s">
        <v>99</v>
      </c>
      <c r="E15" s="128" t="s">
        <v>177</v>
      </c>
    </row>
    <row r="16" spans="1:5" ht="12.75">
      <c r="A16" s="132">
        <f>'Peňažné toky projektu'!B14</f>
        <v>2014</v>
      </c>
      <c r="B16" s="144">
        <v>0.4</v>
      </c>
      <c r="C16" s="191">
        <f>$B$10*B16</f>
        <v>668206.8640000001</v>
      </c>
      <c r="D16" s="144">
        <v>0.8</v>
      </c>
      <c r="E16" s="191">
        <f>(SUM(C$5:C$8))*D16</f>
        <v>71418.672</v>
      </c>
    </row>
    <row r="17" spans="1:5" ht="12.75">
      <c r="A17" s="132">
        <f>A16+1</f>
        <v>2015</v>
      </c>
      <c r="B17" s="144">
        <v>0.4</v>
      </c>
      <c r="C17" s="191">
        <f aca="true" t="shared" si="0" ref="C17:C24">$B$10*B17</f>
        <v>668206.8640000001</v>
      </c>
      <c r="D17" s="144">
        <v>0.2</v>
      </c>
      <c r="E17" s="191">
        <f aca="true" t="shared" si="1" ref="E17:E23">(SUM(C$5:C$8))*D17</f>
        <v>17854.668</v>
      </c>
    </row>
    <row r="18" spans="1:5" ht="12.75">
      <c r="A18" s="132">
        <f aca="true" t="shared" si="2" ref="A18:A23">A17+1</f>
        <v>2016</v>
      </c>
      <c r="B18" s="144">
        <v>0.2</v>
      </c>
      <c r="C18" s="191">
        <f t="shared" si="0"/>
        <v>334103.43200000003</v>
      </c>
      <c r="D18" s="144">
        <v>0</v>
      </c>
      <c r="E18" s="191">
        <f t="shared" si="1"/>
        <v>0</v>
      </c>
    </row>
    <row r="19" spans="1:5" ht="12.75">
      <c r="A19" s="132">
        <f t="shared" si="2"/>
        <v>2017</v>
      </c>
      <c r="B19" s="144">
        <v>0</v>
      </c>
      <c r="C19" s="191">
        <f t="shared" si="0"/>
        <v>0</v>
      </c>
      <c r="D19" s="144">
        <v>0</v>
      </c>
      <c r="E19" s="191">
        <f t="shared" si="1"/>
        <v>0</v>
      </c>
    </row>
    <row r="20" spans="1:5" ht="12.75">
      <c r="A20" s="132">
        <f t="shared" si="2"/>
        <v>2018</v>
      </c>
      <c r="B20" s="144">
        <v>0</v>
      </c>
      <c r="C20" s="191">
        <f t="shared" si="0"/>
        <v>0</v>
      </c>
      <c r="D20" s="144">
        <v>0</v>
      </c>
      <c r="E20" s="191">
        <f t="shared" si="1"/>
        <v>0</v>
      </c>
    </row>
    <row r="21" spans="1:5" ht="12.75">
      <c r="A21" s="132">
        <f t="shared" si="2"/>
        <v>2019</v>
      </c>
      <c r="B21" s="144">
        <v>0</v>
      </c>
      <c r="C21" s="191">
        <f t="shared" si="0"/>
        <v>0</v>
      </c>
      <c r="D21" s="144">
        <v>0</v>
      </c>
      <c r="E21" s="191">
        <f t="shared" si="1"/>
        <v>0</v>
      </c>
    </row>
    <row r="22" spans="1:5" ht="12.75">
      <c r="A22" s="132">
        <f t="shared" si="2"/>
        <v>2020</v>
      </c>
      <c r="B22" s="144">
        <v>0</v>
      </c>
      <c r="C22" s="191">
        <f t="shared" si="0"/>
        <v>0</v>
      </c>
      <c r="D22" s="144">
        <v>0</v>
      </c>
      <c r="E22" s="191">
        <f t="shared" si="1"/>
        <v>0</v>
      </c>
    </row>
    <row r="23" spans="1:5" ht="12.75">
      <c r="A23" s="132">
        <f t="shared" si="2"/>
        <v>2021</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55" t="s">
        <v>105</v>
      </c>
      <c r="B28" s="356"/>
      <c r="C28" s="356"/>
      <c r="D28" s="356"/>
      <c r="E28" s="357"/>
    </row>
    <row r="29" spans="1:5" ht="12.75">
      <c r="A29" s="362" t="s">
        <v>179</v>
      </c>
      <c r="B29" s="362"/>
      <c r="C29" s="362"/>
      <c r="D29" s="352">
        <f>D10</f>
        <v>1759790.5</v>
      </c>
      <c r="E29" s="352"/>
    </row>
    <row r="30" spans="1:7" ht="12.75">
      <c r="A30" s="362" t="s">
        <v>180</v>
      </c>
      <c r="B30" s="362"/>
      <c r="C30" s="362"/>
      <c r="D30" s="352">
        <f>C84</f>
        <v>1503229.2940548921</v>
      </c>
      <c r="E30" s="352"/>
      <c r="G30" s="248"/>
    </row>
    <row r="31" spans="1:5" ht="12.75">
      <c r="A31" s="362" t="s">
        <v>181</v>
      </c>
      <c r="B31" s="362"/>
      <c r="C31" s="362"/>
      <c r="D31" s="352">
        <f>D29-D30</f>
        <v>256561.20594510785</v>
      </c>
      <c r="E31" s="352"/>
    </row>
    <row r="32" spans="1:6" ht="12.75">
      <c r="A32" s="362" t="s">
        <v>182</v>
      </c>
      <c r="B32" s="362"/>
      <c r="C32" s="362"/>
      <c r="D32" s="352">
        <f>D30*D33</f>
        <v>1428067.8293521474</v>
      </c>
      <c r="E32" s="352"/>
      <c r="F32" s="209"/>
    </row>
    <row r="33" spans="1:5" ht="12.75">
      <c r="A33" s="362" t="s">
        <v>104</v>
      </c>
      <c r="B33" s="362"/>
      <c r="C33" s="362"/>
      <c r="D33" s="353">
        <f>IF(AND(StatnaPomoc="áno",'Peňažné toky projektu'!C10&lt;=0),0,PercentoNFP)</f>
        <v>0.95</v>
      </c>
      <c r="E33" s="354"/>
    </row>
    <row r="34" spans="1:5" ht="12.75">
      <c r="A34" s="363" t="s">
        <v>183</v>
      </c>
      <c r="B34" s="364"/>
      <c r="C34" s="365"/>
      <c r="D34" s="330">
        <f>B88</f>
        <v>75161.46470274468</v>
      </c>
      <c r="E34" s="331"/>
    </row>
    <row r="35" spans="1:5" ht="12.75">
      <c r="A35" s="362" t="s">
        <v>184</v>
      </c>
      <c r="B35" s="362"/>
      <c r="C35" s="362"/>
      <c r="D35" s="352">
        <f>'Peňažné toky projektu'!C7</f>
        <v>156001.5121473182</v>
      </c>
      <c r="E35" s="352"/>
    </row>
    <row r="36" spans="1:5" ht="12.75">
      <c r="A36" s="137"/>
      <c r="B36" s="137"/>
      <c r="C36" s="137"/>
      <c r="D36" s="136"/>
      <c r="E36" s="137"/>
    </row>
    <row r="37" spans="1:5" ht="12.75">
      <c r="A37" s="137"/>
      <c r="B37" s="137"/>
      <c r="C37" s="137"/>
      <c r="D37" s="136"/>
      <c r="E37" s="137"/>
    </row>
    <row r="38" spans="1:9" ht="12.75">
      <c r="A38" s="355" t="s">
        <v>267</v>
      </c>
      <c r="B38" s="356"/>
      <c r="C38" s="356"/>
      <c r="D38" s="356"/>
      <c r="E38" s="357"/>
      <c r="F38" s="358" t="s">
        <v>268</v>
      </c>
      <c r="G38" s="359"/>
      <c r="H38" s="359"/>
      <c r="I38" s="360"/>
    </row>
    <row r="39" spans="1:9" ht="63.75">
      <c r="A39" s="337" t="s">
        <v>269</v>
      </c>
      <c r="B39" s="338"/>
      <c r="C39" s="339"/>
      <c r="D39" s="128" t="s">
        <v>176</v>
      </c>
      <c r="E39" s="128" t="s">
        <v>177</v>
      </c>
      <c r="F39" s="128" t="s">
        <v>270</v>
      </c>
      <c r="G39" s="128" t="s">
        <v>271</v>
      </c>
      <c r="H39" s="128" t="s">
        <v>178</v>
      </c>
      <c r="I39" s="128" t="s">
        <v>94</v>
      </c>
    </row>
    <row r="40" spans="1:9" ht="12.75">
      <c r="A40" s="336" t="s">
        <v>297</v>
      </c>
      <c r="B40" s="336"/>
      <c r="C40" s="336"/>
      <c r="D40" s="188">
        <v>1608072.22</v>
      </c>
      <c r="E40" s="188">
        <v>59417.11</v>
      </c>
      <c r="F40" s="312">
        <f>D40*IF(PevnaIntenzita="áno",1,'Peňažné toky projektu'!$C$8)</f>
        <v>1447037.6754824137</v>
      </c>
      <c r="G40" s="312">
        <f>H40-F40</f>
        <v>220451.65451758634</v>
      </c>
      <c r="H40" s="189">
        <f>D40+E40</f>
        <v>1667489.33</v>
      </c>
      <c r="I40" s="203">
        <f>F40/F$73</f>
        <v>0.9626193962592998</v>
      </c>
    </row>
    <row r="41" spans="1:9" ht="12.75">
      <c r="A41" s="336" t="s">
        <v>298</v>
      </c>
      <c r="B41" s="336"/>
      <c r="C41" s="336"/>
      <c r="D41" s="188">
        <v>1974.93</v>
      </c>
      <c r="E41" s="188">
        <v>0</v>
      </c>
      <c r="F41" s="312">
        <f>D41*IF(PevnaIntenzita="áno",1,'Peňažné toky projektu'!$C$8)</f>
        <v>1777.157817228186</v>
      </c>
      <c r="G41" s="312">
        <f aca="true" t="shared" si="3" ref="G41:G72">H41-F41</f>
        <v>197.77218277181396</v>
      </c>
      <c r="H41" s="189">
        <f aca="true" t="shared" si="4" ref="H41:H70">D41+E41</f>
        <v>1974.93</v>
      </c>
      <c r="I41" s="203">
        <f aca="true" t="shared" si="5" ref="I41:I70">F41/F$73</f>
        <v>0.0011822267063691823</v>
      </c>
    </row>
    <row r="42" spans="1:9" ht="12.75">
      <c r="A42" s="336" t="s">
        <v>299</v>
      </c>
      <c r="B42" s="336"/>
      <c r="C42" s="336"/>
      <c r="D42" s="188">
        <v>377.4</v>
      </c>
      <c r="E42" s="188">
        <v>0</v>
      </c>
      <c r="F42" s="312">
        <f>D42*IF(PevnaIntenzita="áno",1,'Peňažné toky projektu'!$C$8)</f>
        <v>339.6066494619644</v>
      </c>
      <c r="G42" s="312">
        <f t="shared" si="3"/>
        <v>37.793350538035554</v>
      </c>
      <c r="H42" s="189">
        <f t="shared" si="4"/>
        <v>377.4</v>
      </c>
      <c r="I42" s="203">
        <f t="shared" si="5"/>
        <v>0.00022591806240410006</v>
      </c>
    </row>
    <row r="43" spans="1:9" ht="12.75">
      <c r="A43" s="336" t="s">
        <v>300</v>
      </c>
      <c r="B43" s="336"/>
      <c r="C43" s="336"/>
      <c r="D43" s="188">
        <v>42.29</v>
      </c>
      <c r="E43" s="188">
        <v>0</v>
      </c>
      <c r="F43" s="312">
        <f>D43*IF(PevnaIntenzita="áno",1,'Peňažné toky projektu'!$C$8)</f>
        <v>38.055021742836445</v>
      </c>
      <c r="G43" s="312">
        <f t="shared" si="3"/>
        <v>4.234978257163554</v>
      </c>
      <c r="H43" s="189">
        <f t="shared" si="4"/>
        <v>42.29</v>
      </c>
      <c r="I43" s="203">
        <f t="shared" si="5"/>
        <v>2.5315513670030184E-05</v>
      </c>
    </row>
    <row r="44" spans="1:9" ht="12.75">
      <c r="A44" s="336" t="s">
        <v>301</v>
      </c>
      <c r="B44" s="336"/>
      <c r="C44" s="336"/>
      <c r="D44" s="188">
        <v>2677.14</v>
      </c>
      <c r="E44" s="188">
        <v>0</v>
      </c>
      <c r="F44" s="312">
        <f>D44*IF(PevnaIntenzita="áno",1,'Peňažné toky projektu'!$C$8)</f>
        <v>2409.047550452049</v>
      </c>
      <c r="G44" s="312">
        <f t="shared" si="3"/>
        <v>268.09244954795076</v>
      </c>
      <c r="H44" s="189">
        <f t="shared" si="4"/>
        <v>2677.14</v>
      </c>
      <c r="I44" s="203">
        <f t="shared" si="5"/>
        <v>0.0016025815622271128</v>
      </c>
    </row>
    <row r="45" spans="1:9" ht="12.75">
      <c r="A45" s="336" t="s">
        <v>302</v>
      </c>
      <c r="B45" s="336"/>
      <c r="C45" s="336"/>
      <c r="D45" s="188">
        <v>943.52</v>
      </c>
      <c r="E45" s="188">
        <v>0</v>
      </c>
      <c r="F45" s="312">
        <f>D45*IF(PevnaIntenzita="áno",1,'Peňažné toky projektu'!$C$8)</f>
        <v>849.0346208276435</v>
      </c>
      <c r="G45" s="312">
        <f t="shared" si="3"/>
        <v>94.48537917235649</v>
      </c>
      <c r="H45" s="189">
        <f t="shared" si="4"/>
        <v>943.52</v>
      </c>
      <c r="I45" s="203">
        <f t="shared" si="5"/>
        <v>0.0005648071283506002</v>
      </c>
    </row>
    <row r="46" spans="1:9" ht="12.75">
      <c r="A46" s="336" t="s">
        <v>272</v>
      </c>
      <c r="B46" s="336"/>
      <c r="C46" s="336"/>
      <c r="D46" s="188">
        <v>0</v>
      </c>
      <c r="E46" s="188">
        <v>0</v>
      </c>
      <c r="F46" s="312">
        <f>D46*IF(PevnaIntenzita="áno",1,'Peňažné toky projektu'!$C$8)</f>
        <v>0</v>
      </c>
      <c r="G46" s="312">
        <f t="shared" si="3"/>
        <v>0</v>
      </c>
      <c r="H46" s="189">
        <f t="shared" si="4"/>
        <v>0</v>
      </c>
      <c r="I46" s="203">
        <f t="shared" si="5"/>
        <v>0</v>
      </c>
    </row>
    <row r="47" spans="1:9" ht="12.75">
      <c r="A47" s="336" t="s">
        <v>273</v>
      </c>
      <c r="B47" s="336"/>
      <c r="C47" s="336"/>
      <c r="D47" s="188">
        <v>0</v>
      </c>
      <c r="E47" s="188">
        <v>0</v>
      </c>
      <c r="F47" s="312">
        <f>D47*IF(PevnaIntenzita="áno",1,'Peňažné toky projektu'!$C$8)</f>
        <v>0</v>
      </c>
      <c r="G47" s="312">
        <f t="shared" si="3"/>
        <v>0</v>
      </c>
      <c r="H47" s="189">
        <f t="shared" si="4"/>
        <v>0</v>
      </c>
      <c r="I47" s="203">
        <f t="shared" si="5"/>
        <v>0</v>
      </c>
    </row>
    <row r="48" spans="1:9" ht="12.75">
      <c r="A48" s="336" t="s">
        <v>274</v>
      </c>
      <c r="B48" s="336"/>
      <c r="C48" s="336"/>
      <c r="D48" s="188">
        <v>0</v>
      </c>
      <c r="E48" s="188">
        <v>0</v>
      </c>
      <c r="F48" s="312">
        <f>D48*IF(PevnaIntenzita="áno",1,'Peňažné toky projektu'!$C$8)</f>
        <v>0</v>
      </c>
      <c r="G48" s="312">
        <f t="shared" si="3"/>
        <v>0</v>
      </c>
      <c r="H48" s="189">
        <f t="shared" si="4"/>
        <v>0</v>
      </c>
      <c r="I48" s="203">
        <f t="shared" si="5"/>
        <v>0</v>
      </c>
    </row>
    <row r="49" spans="1:9" ht="12.75" hidden="1">
      <c r="A49" s="336" t="s">
        <v>275</v>
      </c>
      <c r="B49" s="336"/>
      <c r="C49" s="336"/>
      <c r="D49" s="188">
        <v>0</v>
      </c>
      <c r="E49" s="188">
        <v>0</v>
      </c>
      <c r="F49" s="312">
        <f>D49*IF(PevnaIntenzita="áno",1,'Peňažné toky projektu'!$C$8)</f>
        <v>0</v>
      </c>
      <c r="G49" s="312">
        <f t="shared" si="3"/>
        <v>0</v>
      </c>
      <c r="H49" s="189">
        <f t="shared" si="4"/>
        <v>0</v>
      </c>
      <c r="I49" s="203">
        <f t="shared" si="5"/>
        <v>0</v>
      </c>
    </row>
    <row r="50" spans="1:9" ht="12.75" hidden="1">
      <c r="A50" s="336" t="s">
        <v>276</v>
      </c>
      <c r="B50" s="336"/>
      <c r="C50" s="336"/>
      <c r="D50" s="188">
        <v>0</v>
      </c>
      <c r="E50" s="188">
        <v>0</v>
      </c>
      <c r="F50" s="312">
        <f>D50*IF(PevnaIntenzita="áno",1,'Peňažné toky projektu'!$C$8)</f>
        <v>0</v>
      </c>
      <c r="G50" s="312">
        <f t="shared" si="3"/>
        <v>0</v>
      </c>
      <c r="H50" s="189">
        <f t="shared" si="4"/>
        <v>0</v>
      </c>
      <c r="I50" s="203">
        <f t="shared" si="5"/>
        <v>0</v>
      </c>
    </row>
    <row r="51" spans="1:9" ht="12.75" hidden="1">
      <c r="A51" s="336" t="s">
        <v>277</v>
      </c>
      <c r="B51" s="336"/>
      <c r="C51" s="336"/>
      <c r="D51" s="188">
        <v>0</v>
      </c>
      <c r="E51" s="188">
        <v>0</v>
      </c>
      <c r="F51" s="312">
        <f>D51*IF(PevnaIntenzita="áno",1,'Peňažné toky projektu'!$C$8)</f>
        <v>0</v>
      </c>
      <c r="G51" s="312">
        <f t="shared" si="3"/>
        <v>0</v>
      </c>
      <c r="H51" s="189">
        <f t="shared" si="4"/>
        <v>0</v>
      </c>
      <c r="I51" s="203">
        <f t="shared" si="5"/>
        <v>0</v>
      </c>
    </row>
    <row r="52" spans="1:9" ht="12.75" hidden="1">
      <c r="A52" s="336" t="s">
        <v>278</v>
      </c>
      <c r="B52" s="336"/>
      <c r="C52" s="336"/>
      <c r="D52" s="188">
        <v>0</v>
      </c>
      <c r="E52" s="188">
        <v>0</v>
      </c>
      <c r="F52" s="312">
        <f>D52*IF(PevnaIntenzita="áno",1,'Peňažné toky projektu'!$C$8)</f>
        <v>0</v>
      </c>
      <c r="G52" s="312">
        <f t="shared" si="3"/>
        <v>0</v>
      </c>
      <c r="H52" s="189">
        <f t="shared" si="4"/>
        <v>0</v>
      </c>
      <c r="I52" s="203">
        <f t="shared" si="5"/>
        <v>0</v>
      </c>
    </row>
    <row r="53" spans="1:9" ht="12.75" hidden="1">
      <c r="A53" s="336" t="s">
        <v>279</v>
      </c>
      <c r="B53" s="336"/>
      <c r="C53" s="336"/>
      <c r="D53" s="188">
        <v>0</v>
      </c>
      <c r="E53" s="188">
        <v>0</v>
      </c>
      <c r="F53" s="312">
        <f>D53*IF(PevnaIntenzita="áno",1,'Peňažné toky projektu'!$C$8)</f>
        <v>0</v>
      </c>
      <c r="G53" s="312">
        <f t="shared" si="3"/>
        <v>0</v>
      </c>
      <c r="H53" s="189">
        <f t="shared" si="4"/>
        <v>0</v>
      </c>
      <c r="I53" s="203">
        <f t="shared" si="5"/>
        <v>0</v>
      </c>
    </row>
    <row r="54" spans="1:9" ht="12.75" hidden="1">
      <c r="A54" s="336" t="s">
        <v>280</v>
      </c>
      <c r="B54" s="336"/>
      <c r="C54" s="336"/>
      <c r="D54" s="188">
        <v>0</v>
      </c>
      <c r="E54" s="188">
        <v>0</v>
      </c>
      <c r="F54" s="312">
        <f>D54*IF(PevnaIntenzita="áno",1,'Peňažné toky projektu'!$C$8)</f>
        <v>0</v>
      </c>
      <c r="G54" s="312">
        <f t="shared" si="3"/>
        <v>0</v>
      </c>
      <c r="H54" s="189">
        <f t="shared" si="4"/>
        <v>0</v>
      </c>
      <c r="I54" s="203">
        <f t="shared" si="5"/>
        <v>0</v>
      </c>
    </row>
    <row r="55" spans="1:9" ht="12.75" hidden="1">
      <c r="A55" s="336" t="s">
        <v>281</v>
      </c>
      <c r="B55" s="336"/>
      <c r="C55" s="336"/>
      <c r="D55" s="188">
        <v>0</v>
      </c>
      <c r="E55" s="188">
        <v>0</v>
      </c>
      <c r="F55" s="312">
        <f>D55*IF(PevnaIntenzita="áno",1,'Peňažné toky projektu'!$C$8)</f>
        <v>0</v>
      </c>
      <c r="G55" s="312">
        <f t="shared" si="3"/>
        <v>0</v>
      </c>
      <c r="H55" s="189">
        <f t="shared" si="4"/>
        <v>0</v>
      </c>
      <c r="I55" s="203">
        <f t="shared" si="5"/>
        <v>0</v>
      </c>
    </row>
    <row r="56" spans="1:9" ht="12.75" hidden="1">
      <c r="A56" s="336" t="s">
        <v>282</v>
      </c>
      <c r="B56" s="336"/>
      <c r="C56" s="336"/>
      <c r="D56" s="188">
        <v>0</v>
      </c>
      <c r="E56" s="188">
        <v>0</v>
      </c>
      <c r="F56" s="312">
        <f>D56*IF(PevnaIntenzita="áno",1,'Peňažné toky projektu'!$C$8)</f>
        <v>0</v>
      </c>
      <c r="G56" s="312">
        <f t="shared" si="3"/>
        <v>0</v>
      </c>
      <c r="H56" s="189">
        <f t="shared" si="4"/>
        <v>0</v>
      </c>
      <c r="I56" s="203">
        <f t="shared" si="5"/>
        <v>0</v>
      </c>
    </row>
    <row r="57" spans="1:9" ht="12.75" hidden="1">
      <c r="A57" s="336" t="s">
        <v>283</v>
      </c>
      <c r="B57" s="336"/>
      <c r="C57" s="336"/>
      <c r="D57" s="188">
        <v>0</v>
      </c>
      <c r="E57" s="188">
        <v>0</v>
      </c>
      <c r="F57" s="312">
        <f>D57*IF(PevnaIntenzita="áno",1,'Peňažné toky projektu'!$C$8)</f>
        <v>0</v>
      </c>
      <c r="G57" s="312">
        <f t="shared" si="3"/>
        <v>0</v>
      </c>
      <c r="H57" s="189">
        <f t="shared" si="4"/>
        <v>0</v>
      </c>
      <c r="I57" s="203">
        <f t="shared" si="5"/>
        <v>0</v>
      </c>
    </row>
    <row r="58" spans="1:9" ht="12.75" hidden="1">
      <c r="A58" s="336" t="s">
        <v>284</v>
      </c>
      <c r="B58" s="336"/>
      <c r="C58" s="336"/>
      <c r="D58" s="188">
        <v>0</v>
      </c>
      <c r="E58" s="188">
        <v>0</v>
      </c>
      <c r="F58" s="312">
        <f>D58*IF(PevnaIntenzita="áno",1,'Peňažné toky projektu'!$C$8)</f>
        <v>0</v>
      </c>
      <c r="G58" s="312">
        <f t="shared" si="3"/>
        <v>0</v>
      </c>
      <c r="H58" s="189">
        <f t="shared" si="4"/>
        <v>0</v>
      </c>
      <c r="I58" s="203">
        <f t="shared" si="5"/>
        <v>0</v>
      </c>
    </row>
    <row r="59" spans="1:9" ht="12.75" hidden="1">
      <c r="A59" s="336" t="s">
        <v>285</v>
      </c>
      <c r="B59" s="336"/>
      <c r="C59" s="336"/>
      <c r="D59" s="188">
        <v>0</v>
      </c>
      <c r="E59" s="188">
        <v>0</v>
      </c>
      <c r="F59" s="312">
        <f>D59*IF(PevnaIntenzita="áno",1,'Peňažné toky projektu'!$C$8)</f>
        <v>0</v>
      </c>
      <c r="G59" s="312">
        <f t="shared" si="3"/>
        <v>0</v>
      </c>
      <c r="H59" s="189">
        <f t="shared" si="4"/>
        <v>0</v>
      </c>
      <c r="I59" s="203">
        <f t="shared" si="5"/>
        <v>0</v>
      </c>
    </row>
    <row r="60" spans="1:9" ht="12.75" hidden="1">
      <c r="A60" s="336" t="s">
        <v>286</v>
      </c>
      <c r="B60" s="336"/>
      <c r="C60" s="336"/>
      <c r="D60" s="188">
        <v>0</v>
      </c>
      <c r="E60" s="188">
        <v>0</v>
      </c>
      <c r="F60" s="312">
        <f>D60*IF(PevnaIntenzita="áno",1,'Peňažné toky projektu'!$C$8)</f>
        <v>0</v>
      </c>
      <c r="G60" s="312">
        <f t="shared" si="3"/>
        <v>0</v>
      </c>
      <c r="H60" s="189">
        <f t="shared" si="4"/>
        <v>0</v>
      </c>
      <c r="I60" s="203">
        <f t="shared" si="5"/>
        <v>0</v>
      </c>
    </row>
    <row r="61" spans="1:9" ht="12.75" hidden="1">
      <c r="A61" s="336" t="s">
        <v>287</v>
      </c>
      <c r="B61" s="336"/>
      <c r="C61" s="336"/>
      <c r="D61" s="188">
        <v>0</v>
      </c>
      <c r="E61" s="188">
        <v>0</v>
      </c>
      <c r="F61" s="312">
        <f>D61*IF(PevnaIntenzita="áno",1,'Peňažné toky projektu'!$C$8)</f>
        <v>0</v>
      </c>
      <c r="G61" s="312">
        <f t="shared" si="3"/>
        <v>0</v>
      </c>
      <c r="H61" s="189">
        <f t="shared" si="4"/>
        <v>0</v>
      </c>
      <c r="I61" s="203">
        <f t="shared" si="5"/>
        <v>0</v>
      </c>
    </row>
    <row r="62" spans="1:9" ht="12.75" hidden="1">
      <c r="A62" s="336" t="s">
        <v>288</v>
      </c>
      <c r="B62" s="336"/>
      <c r="C62" s="336"/>
      <c r="D62" s="188">
        <v>0</v>
      </c>
      <c r="E62" s="188">
        <v>0</v>
      </c>
      <c r="F62" s="312">
        <f>D62*IF(PevnaIntenzita="áno",1,'Peňažné toky projektu'!$C$8)</f>
        <v>0</v>
      </c>
      <c r="G62" s="312">
        <f t="shared" si="3"/>
        <v>0</v>
      </c>
      <c r="H62" s="189">
        <f t="shared" si="4"/>
        <v>0</v>
      </c>
      <c r="I62" s="203">
        <f t="shared" si="5"/>
        <v>0</v>
      </c>
    </row>
    <row r="63" spans="1:9" ht="12.75" hidden="1">
      <c r="A63" s="336" t="s">
        <v>289</v>
      </c>
      <c r="B63" s="336"/>
      <c r="C63" s="336"/>
      <c r="D63" s="188">
        <v>0</v>
      </c>
      <c r="E63" s="188">
        <v>0</v>
      </c>
      <c r="F63" s="312">
        <f>D63*IF(PevnaIntenzita="áno",1,'Peňažné toky projektu'!$C$8)</f>
        <v>0</v>
      </c>
      <c r="G63" s="312">
        <f t="shared" si="3"/>
        <v>0</v>
      </c>
      <c r="H63" s="189">
        <f t="shared" si="4"/>
        <v>0</v>
      </c>
      <c r="I63" s="203">
        <f t="shared" si="5"/>
        <v>0</v>
      </c>
    </row>
    <row r="64" spans="1:9" ht="12.75" hidden="1">
      <c r="A64" s="336" t="s">
        <v>290</v>
      </c>
      <c r="B64" s="336"/>
      <c r="C64" s="336"/>
      <c r="D64" s="188">
        <v>0</v>
      </c>
      <c r="E64" s="188">
        <v>0</v>
      </c>
      <c r="F64" s="312">
        <f>D64*IF(PevnaIntenzita="áno",1,'Peňažné toky projektu'!$C$8)</f>
        <v>0</v>
      </c>
      <c r="G64" s="312">
        <f t="shared" si="3"/>
        <v>0</v>
      </c>
      <c r="H64" s="189">
        <f t="shared" si="4"/>
        <v>0</v>
      </c>
      <c r="I64" s="203">
        <f t="shared" si="5"/>
        <v>0</v>
      </c>
    </row>
    <row r="65" spans="1:9" ht="12.75" hidden="1">
      <c r="A65" s="336" t="s">
        <v>291</v>
      </c>
      <c r="B65" s="336"/>
      <c r="C65" s="336"/>
      <c r="D65" s="188">
        <v>0</v>
      </c>
      <c r="E65" s="188">
        <v>0</v>
      </c>
      <c r="F65" s="312">
        <f>D65*IF(PevnaIntenzita="áno",1,'Peňažné toky projektu'!$C$8)</f>
        <v>0</v>
      </c>
      <c r="G65" s="312">
        <f>H65-F65</f>
        <v>0</v>
      </c>
      <c r="H65" s="189">
        <f t="shared" si="4"/>
        <v>0</v>
      </c>
      <c r="I65" s="203">
        <f>F65/F$73</f>
        <v>0</v>
      </c>
    </row>
    <row r="66" spans="1:9" ht="12.75" hidden="1">
      <c r="A66" s="336" t="s">
        <v>292</v>
      </c>
      <c r="B66" s="336"/>
      <c r="C66" s="336"/>
      <c r="D66" s="188">
        <v>0</v>
      </c>
      <c r="E66" s="188">
        <v>0</v>
      </c>
      <c r="F66" s="312">
        <f>D66*IF(PevnaIntenzita="áno",1,'Peňažné toky projektu'!$C$8)</f>
        <v>0</v>
      </c>
      <c r="G66" s="312">
        <f>H66-F66</f>
        <v>0</v>
      </c>
      <c r="H66" s="189">
        <f t="shared" si="4"/>
        <v>0</v>
      </c>
      <c r="I66" s="203">
        <f>F66/F$73</f>
        <v>0</v>
      </c>
    </row>
    <row r="67" spans="1:9" ht="12.75" hidden="1">
      <c r="A67" s="336" t="s">
        <v>293</v>
      </c>
      <c r="B67" s="336"/>
      <c r="C67" s="336"/>
      <c r="D67" s="188">
        <v>0</v>
      </c>
      <c r="E67" s="188">
        <v>0</v>
      </c>
      <c r="F67" s="312">
        <f>D67*IF(PevnaIntenzita="áno",1,'Peňažné toky projektu'!$C$8)</f>
        <v>0</v>
      </c>
      <c r="G67" s="312">
        <f>H67-F67</f>
        <v>0</v>
      </c>
      <c r="H67" s="189">
        <f t="shared" si="4"/>
        <v>0</v>
      </c>
      <c r="I67" s="203">
        <f>F67/F$73</f>
        <v>0</v>
      </c>
    </row>
    <row r="68" spans="1:9" ht="12.75" hidden="1">
      <c r="A68" s="336" t="s">
        <v>294</v>
      </c>
      <c r="B68" s="336"/>
      <c r="C68" s="336"/>
      <c r="D68" s="188">
        <v>0</v>
      </c>
      <c r="E68" s="188">
        <v>0</v>
      </c>
      <c r="F68" s="312">
        <f>D68*IF(PevnaIntenzita="áno",1,'Peňažné toky projektu'!$C$8)</f>
        <v>0</v>
      </c>
      <c r="G68" s="312">
        <f>H68-F68</f>
        <v>0</v>
      </c>
      <c r="H68" s="189">
        <f t="shared" si="4"/>
        <v>0</v>
      </c>
      <c r="I68" s="203">
        <f>F68/F$73</f>
        <v>0</v>
      </c>
    </row>
    <row r="69" spans="1:9" ht="12.75" hidden="1">
      <c r="A69" s="336" t="s">
        <v>295</v>
      </c>
      <c r="B69" s="336"/>
      <c r="C69" s="336"/>
      <c r="D69" s="188">
        <v>0</v>
      </c>
      <c r="E69" s="188">
        <v>0</v>
      </c>
      <c r="F69" s="312">
        <f>D69*IF(PevnaIntenzita="áno",1,'Peňažné toky projektu'!$C$8)</f>
        <v>0</v>
      </c>
      <c r="G69" s="312">
        <f>H69-F69</f>
        <v>0</v>
      </c>
      <c r="H69" s="189">
        <f t="shared" si="4"/>
        <v>0</v>
      </c>
      <c r="I69" s="203">
        <f>F69/F$73</f>
        <v>0</v>
      </c>
    </row>
    <row r="70" spans="1:9" ht="12.75" customHeight="1">
      <c r="A70" s="366" t="s">
        <v>303</v>
      </c>
      <c r="B70" s="367"/>
      <c r="C70" s="368"/>
      <c r="D70" s="188">
        <v>39832.7</v>
      </c>
      <c r="E70" s="188">
        <v>0</v>
      </c>
      <c r="F70" s="312">
        <f>D70*IF(PevnaIntenzita="áno",1,'Peňažné toky projektu'!$C$8)</f>
        <v>35843.799115059854</v>
      </c>
      <c r="G70" s="312">
        <f t="shared" si="3"/>
        <v>3988.9008849401434</v>
      </c>
      <c r="H70" s="189">
        <f t="shared" si="4"/>
        <v>39832.7</v>
      </c>
      <c r="I70" s="203">
        <f t="shared" si="5"/>
        <v>0.02384453207293004</v>
      </c>
    </row>
    <row r="71" spans="1:9" ht="12.75" customHeight="1">
      <c r="A71" s="366" t="s">
        <v>304</v>
      </c>
      <c r="B71" s="367"/>
      <c r="C71" s="368"/>
      <c r="D71" s="188">
        <v>16596.96</v>
      </c>
      <c r="E71" s="188">
        <v>0</v>
      </c>
      <c r="F71" s="312">
        <f>D71*IF(PevnaIntenzita="áno",1,'Peňažné toky projektu'!$C$8)</f>
        <v>14934.917797706</v>
      </c>
      <c r="G71" s="312">
        <f>H71-F71</f>
        <v>1662.0422022939983</v>
      </c>
      <c r="H71" s="189">
        <f>D71+E71</f>
        <v>16596.96</v>
      </c>
      <c r="I71" s="203">
        <f>F71/F$73</f>
        <v>0.009935222694749212</v>
      </c>
    </row>
    <row r="72" spans="1:9" ht="12.75" customHeight="1">
      <c r="A72" s="366" t="s">
        <v>196</v>
      </c>
      <c r="B72" s="367"/>
      <c r="C72" s="368"/>
      <c r="D72" s="203"/>
      <c r="E72" s="188">
        <v>29856.23</v>
      </c>
      <c r="F72" s="312">
        <f>D72*IF(PevnaIntenzita="áno",1,'Peňažné toky projektu'!$C$8)</f>
        <v>0</v>
      </c>
      <c r="G72" s="312">
        <f t="shared" si="3"/>
        <v>29856.23</v>
      </c>
      <c r="H72" s="189">
        <f>E72</f>
        <v>29856.23</v>
      </c>
      <c r="I72" s="203"/>
    </row>
    <row r="73" spans="1:9" ht="12.75">
      <c r="A73" s="366" t="s">
        <v>35</v>
      </c>
      <c r="B73" s="367"/>
      <c r="C73" s="368"/>
      <c r="D73" s="189">
        <f>SUM(D40:D71)</f>
        <v>1670517.1599999997</v>
      </c>
      <c r="E73" s="189">
        <f>SUM(E40:E72)</f>
        <v>89273.34</v>
      </c>
      <c r="F73" s="190">
        <f>SUM(F40:F72)</f>
        <v>1503229.2940548921</v>
      </c>
      <c r="G73" s="190">
        <f>SUM(G40:G72)</f>
        <v>256561.2059451078</v>
      </c>
      <c r="H73" s="190">
        <f>SUM(H40:H72)</f>
        <v>1759790.4999999998</v>
      </c>
      <c r="I73" s="203">
        <f>SUM(I40:I70)</f>
        <v>0.9900647773052509</v>
      </c>
    </row>
    <row r="74" spans="1:5" ht="12.75">
      <c r="A74" s="137"/>
      <c r="B74" s="137"/>
      <c r="C74" s="137"/>
      <c r="D74" s="136"/>
      <c r="E74" s="137"/>
    </row>
    <row r="75" s="210" customFormat="1" ht="12.75" hidden="1"/>
    <row r="76" spans="1:3" s="210" customFormat="1" ht="12.75" hidden="1">
      <c r="A76" s="210" t="s">
        <v>56</v>
      </c>
      <c r="C76" s="293">
        <f>1-PercentoNFP</f>
        <v>0.050000000000000044</v>
      </c>
    </row>
    <row r="77" spans="1:3" s="210" customFormat="1" ht="12.75" hidden="1">
      <c r="A77" s="210" t="s">
        <v>86</v>
      </c>
      <c r="C77" s="294">
        <f>PodielZdrojovEU</f>
        <v>0.85</v>
      </c>
    </row>
    <row r="78" spans="1:3" s="210" customFormat="1" ht="12.75" hidden="1">
      <c r="A78" s="210" t="s">
        <v>87</v>
      </c>
      <c r="C78" s="294">
        <f>PodielZdrojovSR</f>
        <v>0.1</v>
      </c>
    </row>
    <row r="79" s="210" customFormat="1" ht="12.75" hidden="1"/>
    <row r="80" spans="1:22" s="210" customFormat="1" ht="12.75" hidden="1">
      <c r="A80" s="343" t="s">
        <v>122</v>
      </c>
      <c r="B80" s="344"/>
      <c r="C80" s="345"/>
      <c r="D80" s="333" t="s">
        <v>251</v>
      </c>
      <c r="E80" s="333" t="s">
        <v>250</v>
      </c>
      <c r="F80" s="340" t="s">
        <v>249</v>
      </c>
      <c r="G80" s="213"/>
      <c r="H80" s="214"/>
      <c r="I80" s="215"/>
      <c r="J80" s="216"/>
      <c r="T80" s="301" t="s">
        <v>253</v>
      </c>
      <c r="U80" s="302">
        <f>C84</f>
        <v>1503229.2940548921</v>
      </c>
      <c r="V80" s="303">
        <v>1</v>
      </c>
    </row>
    <row r="81" spans="1:22" s="210" customFormat="1" ht="12.75" hidden="1">
      <c r="A81" s="346"/>
      <c r="B81" s="347"/>
      <c r="C81" s="348"/>
      <c r="D81" s="334"/>
      <c r="E81" s="334"/>
      <c r="F81" s="341"/>
      <c r="G81" s="217"/>
      <c r="H81" s="218"/>
      <c r="I81" s="219"/>
      <c r="J81" s="216"/>
      <c r="T81" s="301" t="s">
        <v>254</v>
      </c>
      <c r="U81" s="302">
        <f>NFP</f>
        <v>1428067.8293521474</v>
      </c>
      <c r="V81" s="304">
        <f>U81/$U$80</f>
        <v>0.95</v>
      </c>
    </row>
    <row r="82" spans="1:22" s="210" customFormat="1" ht="12.75" hidden="1">
      <c r="A82" s="349"/>
      <c r="B82" s="350"/>
      <c r="C82" s="351"/>
      <c r="D82" s="335"/>
      <c r="E82" s="335"/>
      <c r="F82" s="342"/>
      <c r="G82" s="220"/>
      <c r="H82" s="221" t="s">
        <v>190</v>
      </c>
      <c r="I82" s="222" t="s">
        <v>191</v>
      </c>
      <c r="T82" s="301" t="s">
        <v>255</v>
      </c>
      <c r="U82" s="302">
        <f>B86</f>
        <v>1277744.8999466584</v>
      </c>
      <c r="V82" s="304">
        <f>U82/$U$80</f>
        <v>0.8500000000000001</v>
      </c>
    </row>
    <row r="83" spans="1:22" s="210" customFormat="1" ht="12.75" hidden="1">
      <c r="A83" s="223"/>
      <c r="B83" s="224"/>
      <c r="C83" s="224"/>
      <c r="D83" s="225"/>
      <c r="E83" s="225"/>
      <c r="F83" s="226"/>
      <c r="G83" s="235" t="s">
        <v>192</v>
      </c>
      <c r="H83" s="236">
        <f>F86+F87</f>
        <v>1428067.8293521476</v>
      </c>
      <c r="I83" s="237">
        <f>SUM(F86:F88)</f>
        <v>1670517.16</v>
      </c>
      <c r="T83" s="301" t="s">
        <v>256</v>
      </c>
      <c r="U83" s="302">
        <f>B87</f>
        <v>150322.9294054892</v>
      </c>
      <c r="V83" s="304">
        <f>U83/$U$80</f>
        <v>0.09999999999999999</v>
      </c>
    </row>
    <row r="84" spans="1:22" s="210" customFormat="1" ht="12.75" hidden="1">
      <c r="A84" s="227" t="s">
        <v>252</v>
      </c>
      <c r="C84" s="299">
        <f>IF(F73&gt;0,F73,CelkoveOpravneneVydavky*IF(PevnaIntenzita="áno",1,'Peňažné toky projektu'!$C$8))</f>
        <v>1503229.2940548921</v>
      </c>
      <c r="D84" s="228">
        <f>SUM(D86:D88)</f>
        <v>1</v>
      </c>
      <c r="E84" s="229">
        <f>SUM(E86:E88)</f>
        <v>1</v>
      </c>
      <c r="F84" s="230"/>
      <c r="G84" s="235" t="s">
        <v>193</v>
      </c>
      <c r="H84" s="236">
        <f>NFP</f>
        <v>1428067.8293521474</v>
      </c>
      <c r="I84" s="237">
        <f>CelkoveOpravneneVydavky</f>
        <v>1670517.16</v>
      </c>
      <c r="T84" s="301" t="s">
        <v>257</v>
      </c>
      <c r="U84" s="302">
        <f>B88</f>
        <v>75161.46470274468</v>
      </c>
      <c r="V84" s="304">
        <f>U84/$U$80</f>
        <v>0.050000000000000044</v>
      </c>
    </row>
    <row r="85" spans="1:22" s="210" customFormat="1" ht="12.75" hidden="1">
      <c r="A85" s="227" t="s">
        <v>195</v>
      </c>
      <c r="C85" s="299">
        <f>NFP</f>
        <v>1428067.8293521474</v>
      </c>
      <c r="D85" s="228"/>
      <c r="E85" s="233"/>
      <c r="F85" s="234"/>
      <c r="G85" s="235" t="s">
        <v>194</v>
      </c>
      <c r="H85" s="236">
        <f>H83-H84</f>
        <v>0</v>
      </c>
      <c r="I85" s="237">
        <f>I83-I84</f>
        <v>0</v>
      </c>
      <c r="T85" s="301" t="s">
        <v>258</v>
      </c>
      <c r="U85" s="302" t="e">
        <f>#REF!</f>
        <v>#REF!</v>
      </c>
      <c r="V85" s="305"/>
    </row>
    <row r="86" spans="1:22" s="210" customFormat="1" ht="12.75" hidden="1">
      <c r="A86" s="140" t="s">
        <v>83</v>
      </c>
      <c r="B86" s="332">
        <f>IF(StatnaPomoc="nie",C84*C77,C85*C77)</f>
        <v>1277744.8999466584</v>
      </c>
      <c r="C86" s="332"/>
      <c r="D86" s="238">
        <f>B86/$C$84</f>
        <v>0.8500000000000001</v>
      </c>
      <c r="E86" s="300">
        <f>B86/CelkoveOpravneneVydavky</f>
        <v>0.7648798411305505</v>
      </c>
      <c r="F86" s="239">
        <f>E86*CelkoveOpravneneVydavky</f>
        <v>1277744.8999466584</v>
      </c>
      <c r="I86" s="232"/>
      <c r="T86" s="301" t="s">
        <v>259</v>
      </c>
      <c r="U86" s="302">
        <f>D30</f>
        <v>1503229.2940548921</v>
      </c>
      <c r="V86" s="303">
        <v>1</v>
      </c>
    </row>
    <row r="87" spans="1:22" s="210" customFormat="1" ht="12.75" hidden="1">
      <c r="A87" s="140" t="s">
        <v>84</v>
      </c>
      <c r="B87" s="332">
        <f>IF(StatnaPomoc="nie",C84*C78,C85*C78)</f>
        <v>150322.9294054892</v>
      </c>
      <c r="C87" s="332"/>
      <c r="D87" s="238">
        <f>B87/$C$84</f>
        <v>0.09999999999999999</v>
      </c>
      <c r="E87" s="300">
        <f>B87/CelkoveOpravneneVydavky</f>
        <v>0.0899858636624177</v>
      </c>
      <c r="F87" s="239">
        <f>E87*CelkoveOpravneneVydavky</f>
        <v>150322.9294054892</v>
      </c>
      <c r="G87" s="231"/>
      <c r="H87" s="231"/>
      <c r="I87" s="232"/>
      <c r="T87" s="301" t="s">
        <v>260</v>
      </c>
      <c r="U87" s="302">
        <f>NFP</f>
        <v>1428067.8293521474</v>
      </c>
      <c r="V87" s="306">
        <f>U87/$U$86</f>
        <v>0.95</v>
      </c>
    </row>
    <row r="88" spans="1:22" s="210" customFormat="1" ht="12.75" hidden="1">
      <c r="A88" s="140" t="s">
        <v>85</v>
      </c>
      <c r="B88" s="332">
        <f>C84*C76</f>
        <v>75161.46470274468</v>
      </c>
      <c r="C88" s="332"/>
      <c r="D88" s="238">
        <f>B88/$C$84</f>
        <v>0.050000000000000044</v>
      </c>
      <c r="E88" s="300">
        <f>1-(E86+E87)</f>
        <v>0.1451342952070318</v>
      </c>
      <c r="F88" s="239">
        <f>E88*CelkoveOpravneneVydavky</f>
        <v>242449.33064785236</v>
      </c>
      <c r="G88" s="240"/>
      <c r="H88" s="240"/>
      <c r="I88" s="241"/>
      <c r="T88" s="301" t="s">
        <v>261</v>
      </c>
      <c r="U88" s="302">
        <f>B86</f>
        <v>1277744.8999466584</v>
      </c>
      <c r="V88" s="306">
        <f>U88/$U$86</f>
        <v>0.8500000000000001</v>
      </c>
    </row>
    <row r="89" spans="2:22" s="210" customFormat="1" ht="12.75" hidden="1">
      <c r="B89" s="242"/>
      <c r="C89" s="242"/>
      <c r="D89" s="211"/>
      <c r="F89" s="212"/>
      <c r="G89" s="243"/>
      <c r="H89" s="244"/>
      <c r="I89" s="244"/>
      <c r="T89" s="301" t="s">
        <v>262</v>
      </c>
      <c r="U89" s="302">
        <f>B87</f>
        <v>150322.9294054892</v>
      </c>
      <c r="V89" s="306">
        <f>U89/$U$86</f>
        <v>0.09999999999999999</v>
      </c>
    </row>
    <row r="90" spans="2:22" s="210" customFormat="1" ht="12.75" hidden="1">
      <c r="B90" s="242"/>
      <c r="C90" s="242"/>
      <c r="D90" s="211"/>
      <c r="F90" s="212"/>
      <c r="G90" s="243"/>
      <c r="H90" s="244"/>
      <c r="I90" s="244"/>
      <c r="T90" s="301" t="s">
        <v>263</v>
      </c>
      <c r="U90" s="302">
        <f>F88</f>
        <v>242449.33064785236</v>
      </c>
      <c r="V90" s="306">
        <f>U90/$U$86</f>
        <v>0.16128566121396984</v>
      </c>
    </row>
    <row r="91" spans="20:22" s="210" customFormat="1" ht="12.75" hidden="1">
      <c r="T91" s="301" t="s">
        <v>264</v>
      </c>
      <c r="U91" s="302">
        <f>C10</f>
        <v>89273.34</v>
      </c>
      <c r="V91" s="305"/>
    </row>
    <row r="92" spans="1:22" s="245" customFormat="1" ht="12.75" hidden="1">
      <c r="A92" s="245" t="s">
        <v>100</v>
      </c>
      <c r="E92" s="210"/>
      <c r="F92" s="210"/>
      <c r="G92" s="246"/>
      <c r="T92" s="301" t="s">
        <v>265</v>
      </c>
      <c r="U92" s="302">
        <f>D29</f>
        <v>1759790.5</v>
      </c>
      <c r="V92" s="305"/>
    </row>
    <row r="93" spans="1:7" s="245" customFormat="1" ht="12.75" hidden="1">
      <c r="A93" s="247" t="s">
        <v>101</v>
      </c>
      <c r="B93" s="382">
        <v>0.005</v>
      </c>
      <c r="F93" s="210"/>
      <c r="G93" s="210"/>
    </row>
    <row r="94" spans="1:7" s="245" customFormat="1" ht="63.75" hidden="1">
      <c r="A94" s="138" t="s">
        <v>97</v>
      </c>
      <c r="B94" s="139" t="s">
        <v>102</v>
      </c>
      <c r="C94" s="139" t="s">
        <v>176</v>
      </c>
      <c r="D94" s="139" t="s">
        <v>177</v>
      </c>
      <c r="E94" s="139" t="s">
        <v>185</v>
      </c>
      <c r="F94" s="139" t="s">
        <v>186</v>
      </c>
      <c r="G94" s="139" t="s">
        <v>187</v>
      </c>
    </row>
    <row r="95" spans="1:7" s="245" customFormat="1" ht="12.75" hidden="1">
      <c r="A95" s="140">
        <f>'Peňažné toky projektu'!B14</f>
        <v>2014</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2015</v>
      </c>
      <c r="B96" s="141">
        <f aca="true" t="shared" si="10" ref="B96:B102">POWER(1+$B$93,A96-A$95)</f>
        <v>1.005</v>
      </c>
      <c r="C96" s="142">
        <f t="shared" si="6"/>
        <v>664882.4517412937</v>
      </c>
      <c r="D96" s="142">
        <f t="shared" si="7"/>
        <v>17765.838805970154</v>
      </c>
      <c r="E96" s="142">
        <f t="shared" si="8"/>
        <v>22459.566169154234</v>
      </c>
      <c r="F96" s="142">
        <f t="shared" si="9"/>
        <v>0</v>
      </c>
      <c r="G96" s="142">
        <f aca="true" t="shared" si="11" ref="G96:G102">E96+F96</f>
        <v>22459.566169154234</v>
      </c>
      <c r="S96" s="307"/>
    </row>
    <row r="97" spans="1:7" s="245" customFormat="1" ht="12.75" hidden="1">
      <c r="A97" s="140">
        <f aca="true" t="shared" si="12" ref="A97:A102">A96+1</f>
        <v>2016</v>
      </c>
      <c r="B97" s="141">
        <f t="shared" si="10"/>
        <v>1.0100249999999997</v>
      </c>
      <c r="C97" s="142">
        <f t="shared" si="6"/>
        <v>330787.28942352923</v>
      </c>
      <c r="D97" s="142">
        <f t="shared" si="7"/>
        <v>0</v>
      </c>
      <c r="E97" s="142">
        <f t="shared" si="8"/>
        <v>11173.913516992157</v>
      </c>
      <c r="F97" s="142">
        <f t="shared" si="9"/>
        <v>0</v>
      </c>
      <c r="G97" s="142">
        <f t="shared" si="11"/>
        <v>11173.913516992157</v>
      </c>
    </row>
    <row r="98" spans="1:7" s="245" customFormat="1" ht="12.75" hidden="1">
      <c r="A98" s="140">
        <f t="shared" si="12"/>
        <v>2017</v>
      </c>
      <c r="B98" s="141">
        <f t="shared" si="10"/>
        <v>1.0150751249999996</v>
      </c>
      <c r="C98" s="142">
        <f t="shared" si="6"/>
        <v>0</v>
      </c>
      <c r="D98" s="142">
        <f t="shared" si="7"/>
        <v>0</v>
      </c>
      <c r="E98" s="142">
        <f t="shared" si="8"/>
        <v>0</v>
      </c>
      <c r="F98" s="142">
        <f t="shared" si="9"/>
        <v>0</v>
      </c>
      <c r="G98" s="142">
        <f t="shared" si="11"/>
        <v>0</v>
      </c>
    </row>
    <row r="99" spans="1:7" s="245" customFormat="1" ht="12.75" hidden="1">
      <c r="A99" s="140">
        <f t="shared" si="12"/>
        <v>2018</v>
      </c>
      <c r="B99" s="141">
        <f t="shared" si="10"/>
        <v>1.0201505006249993</v>
      </c>
      <c r="C99" s="142">
        <f t="shared" si="6"/>
        <v>0</v>
      </c>
      <c r="D99" s="142">
        <f t="shared" si="7"/>
        <v>0</v>
      </c>
      <c r="E99" s="142">
        <f t="shared" si="8"/>
        <v>0</v>
      </c>
      <c r="F99" s="142">
        <f t="shared" si="9"/>
        <v>0</v>
      </c>
      <c r="G99" s="142">
        <f t="shared" si="11"/>
        <v>0</v>
      </c>
    </row>
    <row r="100" spans="1:7" s="245" customFormat="1" ht="12.75" hidden="1">
      <c r="A100" s="140">
        <f t="shared" si="12"/>
        <v>2019</v>
      </c>
      <c r="B100" s="141">
        <f t="shared" si="10"/>
        <v>1.0252512531281242</v>
      </c>
      <c r="C100" s="142">
        <f t="shared" si="6"/>
        <v>0</v>
      </c>
      <c r="D100" s="142">
        <f t="shared" si="7"/>
        <v>0</v>
      </c>
      <c r="E100" s="142">
        <f t="shared" si="8"/>
        <v>0</v>
      </c>
      <c r="F100" s="142">
        <f t="shared" si="9"/>
        <v>0</v>
      </c>
      <c r="G100" s="142">
        <f t="shared" si="11"/>
        <v>0</v>
      </c>
    </row>
    <row r="101" spans="1:7" s="245" customFormat="1" ht="12.75" hidden="1">
      <c r="A101" s="140">
        <f t="shared" si="12"/>
        <v>2020</v>
      </c>
      <c r="B101" s="141">
        <f t="shared" si="10"/>
        <v>1.0303775093937646</v>
      </c>
      <c r="C101" s="142">
        <f t="shared" si="6"/>
        <v>0</v>
      </c>
      <c r="D101" s="142">
        <f t="shared" si="7"/>
        <v>0</v>
      </c>
      <c r="E101" s="142">
        <f t="shared" si="8"/>
        <v>0</v>
      </c>
      <c r="F101" s="142">
        <f t="shared" si="9"/>
        <v>0</v>
      </c>
      <c r="G101" s="142">
        <f t="shared" si="11"/>
        <v>0</v>
      </c>
    </row>
    <row r="102" spans="1:7" s="245" customFormat="1" ht="12.75" hidden="1">
      <c r="A102" s="140">
        <f t="shared" si="12"/>
        <v>2021</v>
      </c>
      <c r="B102" s="141">
        <f t="shared" si="10"/>
        <v>1.0355293969407333</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1663876.605164823</v>
      </c>
      <c r="D103" s="141">
        <f>SUM(D95:D102)</f>
        <v>89184.51080597016</v>
      </c>
      <c r="E103" s="141">
        <f>SUM(E95:E102)</f>
        <v>56205.34368614639</v>
      </c>
      <c r="F103" s="142">
        <f>SUM(F95:F102)</f>
        <v>0</v>
      </c>
      <c r="G103" s="249">
        <f>SUM(G95:G102)</f>
        <v>56205.34368614639</v>
      </c>
    </row>
    <row r="104" s="245" customFormat="1" ht="12.75" hidden="1"/>
  </sheetData>
  <sheetProtection password="C064" sheet="1" formatRows="0"/>
  <mergeCells count="60">
    <mergeCell ref="A58:C58"/>
    <mergeCell ref="A59:C59"/>
    <mergeCell ref="A69:C69"/>
    <mergeCell ref="A70:C70"/>
    <mergeCell ref="A72:C72"/>
    <mergeCell ref="A61:C61"/>
    <mergeCell ref="A62:C62"/>
    <mergeCell ref="A63:C63"/>
    <mergeCell ref="A64:C64"/>
    <mergeCell ref="A65:C65"/>
    <mergeCell ref="A53:C53"/>
    <mergeCell ref="A54:C54"/>
    <mergeCell ref="A73:C73"/>
    <mergeCell ref="A71:C71"/>
    <mergeCell ref="A66:C66"/>
    <mergeCell ref="A67:C67"/>
    <mergeCell ref="A68:C68"/>
    <mergeCell ref="A55:C55"/>
    <mergeCell ref="A56:C56"/>
    <mergeCell ref="A57:C57"/>
    <mergeCell ref="A40:C40"/>
    <mergeCell ref="A41:C41"/>
    <mergeCell ref="A42:C42"/>
    <mergeCell ref="A43:C43"/>
    <mergeCell ref="A48:C48"/>
    <mergeCell ref="A60:C60"/>
    <mergeCell ref="A49:C49"/>
    <mergeCell ref="A50:C50"/>
    <mergeCell ref="A51:C51"/>
    <mergeCell ref="A52:C52"/>
    <mergeCell ref="A3:E3"/>
    <mergeCell ref="A35:C35"/>
    <mergeCell ref="A33:C33"/>
    <mergeCell ref="A32:C32"/>
    <mergeCell ref="A31:C31"/>
    <mergeCell ref="A30:C30"/>
    <mergeCell ref="A29:C29"/>
    <mergeCell ref="D29:E29"/>
    <mergeCell ref="A28:E28"/>
    <mergeCell ref="A34:C34"/>
    <mergeCell ref="F80:F82"/>
    <mergeCell ref="A80:C82"/>
    <mergeCell ref="D80:D82"/>
    <mergeCell ref="D31:E31"/>
    <mergeCell ref="D30:E30"/>
    <mergeCell ref="D35:E35"/>
    <mergeCell ref="D33:E33"/>
    <mergeCell ref="D32:E32"/>
    <mergeCell ref="A38:E38"/>
    <mergeCell ref="F38:I38"/>
    <mergeCell ref="D34:E34"/>
    <mergeCell ref="B88:C88"/>
    <mergeCell ref="B87:C87"/>
    <mergeCell ref="B86:C86"/>
    <mergeCell ref="E80:E82"/>
    <mergeCell ref="A44:C44"/>
    <mergeCell ref="A45:C45"/>
    <mergeCell ref="A46:C46"/>
    <mergeCell ref="A47:C47"/>
    <mergeCell ref="A39:C3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198</v>
      </c>
      <c r="D1" s="20">
        <f>'Peňažné toky projektu'!$B$14</f>
        <v>2014</v>
      </c>
      <c r="E1" s="20">
        <f>D1+1</f>
        <v>2015</v>
      </c>
      <c r="F1" s="20">
        <f aca="true" t="shared" si="0" ref="F1:AL1">E1+1</f>
        <v>2016</v>
      </c>
      <c r="G1" s="20">
        <f t="shared" si="0"/>
        <v>2017</v>
      </c>
      <c r="H1" s="20">
        <f t="shared" si="0"/>
        <v>2018</v>
      </c>
      <c r="I1" s="20">
        <f t="shared" si="0"/>
        <v>2019</v>
      </c>
      <c r="J1" s="20">
        <f t="shared" si="0"/>
        <v>2020</v>
      </c>
      <c r="K1" s="20">
        <f t="shared" si="0"/>
        <v>2021</v>
      </c>
      <c r="L1" s="20">
        <f t="shared" si="0"/>
        <v>2022</v>
      </c>
      <c r="M1" s="20">
        <f t="shared" si="0"/>
        <v>2023</v>
      </c>
      <c r="N1" s="20">
        <f t="shared" si="0"/>
        <v>2024</v>
      </c>
      <c r="O1" s="20">
        <f t="shared" si="0"/>
        <v>2025</v>
      </c>
      <c r="P1" s="20">
        <f t="shared" si="0"/>
        <v>2026</v>
      </c>
      <c r="Q1" s="20">
        <f t="shared" si="0"/>
        <v>2027</v>
      </c>
      <c r="R1" s="20">
        <f t="shared" si="0"/>
        <v>2028</v>
      </c>
      <c r="S1" s="20">
        <f t="shared" si="0"/>
        <v>2029</v>
      </c>
      <c r="T1" s="20">
        <f t="shared" si="0"/>
        <v>2030</v>
      </c>
      <c r="U1" s="20">
        <f t="shared" si="0"/>
        <v>2031</v>
      </c>
      <c r="V1" s="20">
        <f t="shared" si="0"/>
        <v>2032</v>
      </c>
      <c r="W1" s="20">
        <f t="shared" si="0"/>
        <v>2033</v>
      </c>
      <c r="X1" s="20">
        <f t="shared" si="0"/>
        <v>2034</v>
      </c>
      <c r="Y1" s="20">
        <f t="shared" si="0"/>
        <v>2035</v>
      </c>
      <c r="Z1" s="20">
        <f t="shared" si="0"/>
        <v>2036</v>
      </c>
      <c r="AA1" s="20">
        <f t="shared" si="0"/>
        <v>2037</v>
      </c>
      <c r="AB1" s="20">
        <f t="shared" si="0"/>
        <v>2038</v>
      </c>
      <c r="AC1" s="20">
        <f t="shared" si="0"/>
        <v>2039</v>
      </c>
      <c r="AD1" s="20">
        <f t="shared" si="0"/>
        <v>2040</v>
      </c>
      <c r="AE1" s="20">
        <f t="shared" si="0"/>
        <v>2041</v>
      </c>
      <c r="AF1" s="20">
        <f t="shared" si="0"/>
        <v>2042</v>
      </c>
      <c r="AG1" s="20">
        <f t="shared" si="0"/>
        <v>2043</v>
      </c>
      <c r="AH1" s="20">
        <f t="shared" si="0"/>
        <v>2044</v>
      </c>
      <c r="AI1" s="20">
        <f t="shared" si="0"/>
        <v>2045</v>
      </c>
      <c r="AJ1" s="20">
        <f t="shared" si="0"/>
        <v>2046</v>
      </c>
      <c r="AK1" s="20">
        <f t="shared" si="0"/>
        <v>2047</v>
      </c>
      <c r="AL1" s="20">
        <f t="shared" si="0"/>
        <v>2048</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0" t="s">
        <v>199</v>
      </c>
      <c r="B4" s="36"/>
      <c r="C4" s="36"/>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2"/>
      <c r="B6" s="253"/>
      <c r="C6" s="254" t="s">
        <v>200</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398.33</v>
      </c>
      <c r="AK6" s="197">
        <v>0</v>
      </c>
      <c r="AL6" s="197">
        <v>0</v>
      </c>
    </row>
    <row r="7" spans="3:38" ht="12.75">
      <c r="C7" s="34"/>
      <c r="D7" s="46"/>
      <c r="E7" s="46"/>
      <c r="F7" s="25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2"/>
      <c r="B8" s="256"/>
      <c r="C8" s="254" t="s">
        <v>201</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663.88</v>
      </c>
      <c r="AK8" s="197">
        <v>0</v>
      </c>
      <c r="AL8" s="197">
        <v>0</v>
      </c>
    </row>
    <row r="9" spans="3:38" ht="12.75">
      <c r="C9" s="34"/>
      <c r="D9" s="46"/>
      <c r="E9" s="46"/>
      <c r="F9" s="255"/>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2"/>
      <c r="B10" s="256"/>
      <c r="C10" s="254" t="s">
        <v>202</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663.88</v>
      </c>
      <c r="AK10" s="197">
        <v>0</v>
      </c>
      <c r="AL10" s="197">
        <v>0</v>
      </c>
    </row>
    <row r="11" spans="1:38" ht="12.75">
      <c r="A11" s="7"/>
      <c r="C11" s="34"/>
      <c r="D11" s="20"/>
      <c r="E11" s="20"/>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0"/>
      <c r="AL11" s="20"/>
    </row>
    <row r="12" spans="2:38" s="196" customFormat="1" ht="12.75">
      <c r="B12" s="256"/>
      <c r="C12" s="254" t="s">
        <v>203</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199.16</v>
      </c>
      <c r="AK12" s="197">
        <v>0</v>
      </c>
      <c r="AL12" s="197">
        <v>0</v>
      </c>
    </row>
    <row r="13" spans="1:38" ht="12.75">
      <c r="A13" s="7"/>
      <c r="C13" s="34"/>
      <c r="D13" s="20"/>
      <c r="E13" s="20"/>
      <c r="F13" s="25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3"/>
      <c r="C14" s="254"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6"/>
      <c r="C16" s="254"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204</v>
      </c>
      <c r="D18" s="257">
        <v>0</v>
      </c>
      <c r="E18" s="257">
        <v>0</v>
      </c>
      <c r="F18" s="257">
        <v>1759.28</v>
      </c>
      <c r="G18" s="257">
        <v>1759.28</v>
      </c>
      <c r="H18" s="257">
        <v>1759.28</v>
      </c>
      <c r="I18" s="257">
        <v>1759.28</v>
      </c>
      <c r="J18" s="257">
        <v>1759.28</v>
      </c>
      <c r="K18" s="257">
        <v>1825.67</v>
      </c>
      <c r="L18" s="257">
        <v>1825.67</v>
      </c>
      <c r="M18" s="257">
        <v>1825.67</v>
      </c>
      <c r="N18" s="257">
        <v>1825.67</v>
      </c>
      <c r="O18" s="257">
        <v>1825.67</v>
      </c>
      <c r="P18" s="257">
        <v>1925.25</v>
      </c>
      <c r="Q18" s="257">
        <v>1925.25</v>
      </c>
      <c r="R18" s="257">
        <v>1925.25</v>
      </c>
      <c r="S18" s="257">
        <v>1925.25</v>
      </c>
      <c r="T18" s="257">
        <v>1925.25</v>
      </c>
      <c r="U18" s="257">
        <v>1925.25</v>
      </c>
      <c r="V18" s="257">
        <v>1925.25</v>
      </c>
      <c r="W18" s="257">
        <v>1925.25</v>
      </c>
      <c r="X18" s="257">
        <v>1925.25</v>
      </c>
      <c r="Y18" s="257">
        <v>1925.25</v>
      </c>
      <c r="Z18" s="257">
        <v>1925.25</v>
      </c>
      <c r="AA18" s="257">
        <v>1925.25</v>
      </c>
      <c r="AB18" s="257">
        <v>1925.25</v>
      </c>
      <c r="AC18" s="257">
        <v>1925.25</v>
      </c>
      <c r="AD18" s="257">
        <v>1925.25</v>
      </c>
      <c r="AE18" s="257">
        <v>1925.25</v>
      </c>
      <c r="AF18" s="257">
        <v>1925.25</v>
      </c>
      <c r="AG18" s="257">
        <v>1925.25</v>
      </c>
      <c r="AH18" s="257">
        <v>1925.25</v>
      </c>
      <c r="AI18" s="257">
        <v>1925.25</v>
      </c>
      <c r="AJ18" s="257">
        <v>1925.25</v>
      </c>
      <c r="AK18" s="257">
        <v>0</v>
      </c>
      <c r="AL18" s="257">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8" t="s">
        <v>205</v>
      </c>
      <c r="B21" s="36"/>
      <c r="C21" s="36"/>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59"/>
      <c r="C23" s="34" t="s">
        <v>206</v>
      </c>
      <c r="D23" s="260">
        <v>0</v>
      </c>
      <c r="E23" s="260">
        <v>0</v>
      </c>
      <c r="F23" s="260">
        <v>425.65235776512236</v>
      </c>
      <c r="G23" s="260">
        <v>811.2011929651225</v>
      </c>
      <c r="H23" s="260">
        <v>845.4456708657623</v>
      </c>
      <c r="I23" s="260">
        <v>869.6163815631431</v>
      </c>
      <c r="J23" s="260">
        <v>872.9101464583351</v>
      </c>
      <c r="K23" s="260">
        <v>873.7368814470284</v>
      </c>
      <c r="L23" s="260">
        <v>873.7368814470284</v>
      </c>
      <c r="M23" s="260">
        <v>873.7368814470284</v>
      </c>
      <c r="N23" s="260">
        <v>873.7368814470284</v>
      </c>
      <c r="O23" s="260">
        <v>873.7368814470284</v>
      </c>
      <c r="P23" s="260">
        <v>873.7368814470284</v>
      </c>
      <c r="Q23" s="260">
        <v>873.7368814470284</v>
      </c>
      <c r="R23" s="260">
        <v>873.7368814470284</v>
      </c>
      <c r="S23" s="260">
        <v>873.7368814470284</v>
      </c>
      <c r="T23" s="260">
        <v>873.7368814470284</v>
      </c>
      <c r="U23" s="260">
        <v>873.7368814470284</v>
      </c>
      <c r="V23" s="260">
        <v>873.7368814470284</v>
      </c>
      <c r="W23" s="260">
        <v>873.7368814470284</v>
      </c>
      <c r="X23" s="260">
        <v>873.7368814470284</v>
      </c>
      <c r="Y23" s="260">
        <v>873.7368814470284</v>
      </c>
      <c r="Z23" s="260">
        <v>873.7368814470284</v>
      </c>
      <c r="AA23" s="260">
        <v>873.7368814470284</v>
      </c>
      <c r="AB23" s="260">
        <v>873.7368814470284</v>
      </c>
      <c r="AC23" s="260">
        <v>873.7368814470284</v>
      </c>
      <c r="AD23" s="260">
        <v>873.7368814470284</v>
      </c>
      <c r="AE23" s="260">
        <v>873.7368814470284</v>
      </c>
      <c r="AF23" s="260">
        <v>873.7368814470284</v>
      </c>
      <c r="AG23" s="260">
        <v>873.7368814470284</v>
      </c>
      <c r="AH23" s="260">
        <v>873.7368814470284</v>
      </c>
      <c r="AI23" s="260">
        <v>873.7368814470284</v>
      </c>
      <c r="AJ23" s="260">
        <v>873.7368814470284</v>
      </c>
      <c r="AK23" s="257"/>
      <c r="AL23" s="257"/>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1" t="s">
        <v>207</v>
      </c>
      <c r="D25" s="45">
        <v>0</v>
      </c>
      <c r="E25" s="45">
        <v>0</v>
      </c>
      <c r="F25" s="262">
        <v>0.1</v>
      </c>
      <c r="G25" s="262">
        <v>0.1</v>
      </c>
      <c r="H25" s="262">
        <v>0.1</v>
      </c>
      <c r="I25" s="262">
        <v>0.1</v>
      </c>
      <c r="J25" s="262">
        <v>0.1</v>
      </c>
      <c r="K25" s="262">
        <v>0.1</v>
      </c>
      <c r="L25" s="262">
        <v>0.1</v>
      </c>
      <c r="M25" s="262">
        <v>0.1</v>
      </c>
      <c r="N25" s="262">
        <v>0.1</v>
      </c>
      <c r="O25" s="262">
        <v>0.1</v>
      </c>
      <c r="P25" s="262">
        <v>0.1</v>
      </c>
      <c r="Q25" s="262">
        <v>0.1</v>
      </c>
      <c r="R25" s="262">
        <v>0.1</v>
      </c>
      <c r="S25" s="262">
        <v>0.1</v>
      </c>
      <c r="T25" s="262">
        <v>0.1</v>
      </c>
      <c r="U25" s="262">
        <v>0.1</v>
      </c>
      <c r="V25" s="262">
        <v>0.1</v>
      </c>
      <c r="W25" s="262">
        <v>0.1</v>
      </c>
      <c r="X25" s="262">
        <v>0.1</v>
      </c>
      <c r="Y25" s="262">
        <v>0.1</v>
      </c>
      <c r="Z25" s="262">
        <v>0.1</v>
      </c>
      <c r="AA25" s="262">
        <v>0.1</v>
      </c>
      <c r="AB25" s="262">
        <v>0.1</v>
      </c>
      <c r="AC25" s="262">
        <v>0.1</v>
      </c>
      <c r="AD25" s="262">
        <v>0.1</v>
      </c>
      <c r="AE25" s="262">
        <v>0.1</v>
      </c>
      <c r="AF25" s="262">
        <v>0.1</v>
      </c>
      <c r="AG25" s="262">
        <v>0.1</v>
      </c>
      <c r="AH25" s="262">
        <v>0.1</v>
      </c>
      <c r="AI25" s="262">
        <v>0.1</v>
      </c>
      <c r="AJ25" s="262">
        <v>0.1</v>
      </c>
      <c r="AK25" s="20"/>
      <c r="AL25" s="20"/>
    </row>
    <row r="26" spans="3:38" ht="12.75">
      <c r="C26" s="9" t="s">
        <v>208</v>
      </c>
      <c r="D26" s="260">
        <v>0</v>
      </c>
      <c r="E26" s="260">
        <v>0</v>
      </c>
      <c r="F26" s="260">
        <v>42.56523577651224</v>
      </c>
      <c r="G26" s="260">
        <v>81.12011929651226</v>
      </c>
      <c r="H26" s="260">
        <v>84.54456708657624</v>
      </c>
      <c r="I26" s="260">
        <v>86.96163815631432</v>
      </c>
      <c r="J26" s="260">
        <v>87.29101464583351</v>
      </c>
      <c r="K26" s="260">
        <v>87.37368814470284</v>
      </c>
      <c r="L26" s="260">
        <v>87.37368814470284</v>
      </c>
      <c r="M26" s="260">
        <v>87.37368814470284</v>
      </c>
      <c r="N26" s="260">
        <v>87.37368814470284</v>
      </c>
      <c r="O26" s="260">
        <v>87.37368814470284</v>
      </c>
      <c r="P26" s="260">
        <v>87.37368814470284</v>
      </c>
      <c r="Q26" s="260">
        <v>87.37368814470284</v>
      </c>
      <c r="R26" s="260">
        <v>87.37368814470284</v>
      </c>
      <c r="S26" s="260">
        <v>87.37368814470284</v>
      </c>
      <c r="T26" s="260">
        <v>87.37368814470284</v>
      </c>
      <c r="U26" s="260">
        <v>87.37368814470284</v>
      </c>
      <c r="V26" s="260">
        <v>87.37368814470284</v>
      </c>
      <c r="W26" s="260">
        <v>87.37368814470284</v>
      </c>
      <c r="X26" s="260">
        <v>87.37368814470284</v>
      </c>
      <c r="Y26" s="260">
        <v>87.37368814470284</v>
      </c>
      <c r="Z26" s="260">
        <v>87.37368814470284</v>
      </c>
      <c r="AA26" s="260">
        <v>87.37368814470284</v>
      </c>
      <c r="AB26" s="260">
        <v>87.37368814470284</v>
      </c>
      <c r="AC26" s="260">
        <v>87.37368814470284</v>
      </c>
      <c r="AD26" s="260">
        <v>87.37368814470284</v>
      </c>
      <c r="AE26" s="260">
        <v>87.37368814470284</v>
      </c>
      <c r="AF26" s="260">
        <v>87.37368814470284</v>
      </c>
      <c r="AG26" s="260">
        <v>87.37368814470284</v>
      </c>
      <c r="AH26" s="260">
        <v>87.37368814470284</v>
      </c>
      <c r="AI26" s="260">
        <v>87.37368814470284</v>
      </c>
      <c r="AJ26" s="260">
        <v>87.37368814470284</v>
      </c>
      <c r="AK26" s="260">
        <v>0</v>
      </c>
      <c r="AL26" s="260">
        <v>0</v>
      </c>
    </row>
    <row r="27" spans="1:38" ht="12.75">
      <c r="A27" s="7"/>
      <c r="B27" s="7"/>
      <c r="C27" s="9" t="s">
        <v>209</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192">
        <v>8.298</v>
      </c>
      <c r="AK27" s="45">
        <v>0</v>
      </c>
      <c r="AL27" s="45">
        <v>0</v>
      </c>
    </row>
    <row r="28" spans="1:38" ht="12.75">
      <c r="A28" s="7"/>
      <c r="B28" s="369" t="s">
        <v>210</v>
      </c>
      <c r="C28" s="369"/>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196">
        <v>725.0268642247441</v>
      </c>
      <c r="AK28" s="46">
        <v>0</v>
      </c>
      <c r="AL28" s="46">
        <v>0</v>
      </c>
    </row>
    <row r="29" spans="1:38" ht="12.75">
      <c r="A29" s="7"/>
      <c r="B29" s="34"/>
      <c r="C29" s="34"/>
      <c r="D29" s="46"/>
      <c r="E29" s="46"/>
      <c r="F29" s="263"/>
      <c r="G29" s="263"/>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1" t="s">
        <v>211</v>
      </c>
      <c r="D30" s="45">
        <v>0</v>
      </c>
      <c r="E30" s="45">
        <v>0</v>
      </c>
      <c r="F30" s="262">
        <v>72.5</v>
      </c>
      <c r="G30" s="262">
        <v>72.5</v>
      </c>
      <c r="H30" s="262">
        <v>72.5</v>
      </c>
      <c r="I30" s="262">
        <v>72.5</v>
      </c>
      <c r="J30" s="262">
        <v>72.5</v>
      </c>
      <c r="K30" s="262">
        <v>72.5</v>
      </c>
      <c r="L30" s="262">
        <v>72.5</v>
      </c>
      <c r="M30" s="262">
        <v>72.5</v>
      </c>
      <c r="N30" s="262">
        <v>72.5</v>
      </c>
      <c r="O30" s="262">
        <v>72.5</v>
      </c>
      <c r="P30" s="262">
        <v>72.5</v>
      </c>
      <c r="Q30" s="262">
        <v>72.5</v>
      </c>
      <c r="R30" s="262">
        <v>72.5</v>
      </c>
      <c r="S30" s="262">
        <v>72.5</v>
      </c>
      <c r="T30" s="262">
        <v>72.5</v>
      </c>
      <c r="U30" s="262">
        <v>72.5</v>
      </c>
      <c r="V30" s="262">
        <v>72.5</v>
      </c>
      <c r="W30" s="262">
        <v>72.5</v>
      </c>
      <c r="X30" s="262">
        <v>72.5</v>
      </c>
      <c r="Y30" s="262">
        <v>72.5</v>
      </c>
      <c r="Z30" s="262">
        <v>72.5</v>
      </c>
      <c r="AA30" s="262">
        <v>72.5</v>
      </c>
      <c r="AB30" s="262">
        <v>72.5</v>
      </c>
      <c r="AC30" s="262">
        <v>72.5</v>
      </c>
      <c r="AD30" s="262">
        <v>72.5</v>
      </c>
      <c r="AE30" s="262">
        <v>72.5</v>
      </c>
      <c r="AF30" s="262">
        <v>72.5</v>
      </c>
      <c r="AG30" s="262">
        <v>72.5</v>
      </c>
      <c r="AH30" s="262">
        <v>72.5</v>
      </c>
      <c r="AI30" s="262">
        <v>72.5</v>
      </c>
      <c r="AJ30" s="262">
        <v>72.5</v>
      </c>
      <c r="AK30" s="46"/>
      <c r="AL30" s="46"/>
    </row>
    <row r="31" spans="1:38" ht="12.75">
      <c r="A31" s="7"/>
      <c r="B31" s="7"/>
      <c r="C31" s="9" t="s">
        <v>212</v>
      </c>
      <c r="D31" s="46">
        <v>0</v>
      </c>
      <c r="E31" s="46">
        <v>0</v>
      </c>
      <c r="F31" s="264">
        <v>30.859795937971374</v>
      </c>
      <c r="G31" s="264">
        <v>58.81208648997138</v>
      </c>
      <c r="H31" s="264">
        <v>61.294811137767766</v>
      </c>
      <c r="I31" s="264">
        <v>63.04718766332788</v>
      </c>
      <c r="J31" s="264">
        <v>63.2859856182293</v>
      </c>
      <c r="K31" s="264">
        <v>63.345923904909554</v>
      </c>
      <c r="L31" s="264">
        <v>63.345923904909554</v>
      </c>
      <c r="M31" s="264">
        <v>63.345923904909554</v>
      </c>
      <c r="N31" s="264">
        <v>63.345923904909554</v>
      </c>
      <c r="O31" s="264">
        <v>63.345923904909554</v>
      </c>
      <c r="P31" s="264">
        <v>63.345923904909554</v>
      </c>
      <c r="Q31" s="264">
        <v>63.345923904909554</v>
      </c>
      <c r="R31" s="264">
        <v>63.345923904909554</v>
      </c>
      <c r="S31" s="264">
        <v>63.345923904909554</v>
      </c>
      <c r="T31" s="264">
        <v>63.345923904909554</v>
      </c>
      <c r="U31" s="264">
        <v>63.345923904909554</v>
      </c>
      <c r="V31" s="264">
        <v>63.345923904909554</v>
      </c>
      <c r="W31" s="264">
        <v>63.345923904909554</v>
      </c>
      <c r="X31" s="264">
        <v>63.345923904909554</v>
      </c>
      <c r="Y31" s="264">
        <v>63.345923904909554</v>
      </c>
      <c r="Z31" s="264">
        <v>63.345923904909554</v>
      </c>
      <c r="AA31" s="264">
        <v>63.345923904909554</v>
      </c>
      <c r="AB31" s="264">
        <v>63.345923904909554</v>
      </c>
      <c r="AC31" s="264">
        <v>63.345923904909554</v>
      </c>
      <c r="AD31" s="264">
        <v>63.345923904909554</v>
      </c>
      <c r="AE31" s="264">
        <v>63.345923904909554</v>
      </c>
      <c r="AF31" s="264">
        <v>63.345923904909554</v>
      </c>
      <c r="AG31" s="264">
        <v>63.345923904909554</v>
      </c>
      <c r="AH31" s="264">
        <v>63.345923904909554</v>
      </c>
      <c r="AI31" s="264">
        <v>63.345923904909554</v>
      </c>
      <c r="AJ31" s="264">
        <v>63.345923904909554</v>
      </c>
      <c r="AK31" s="46">
        <v>0</v>
      </c>
      <c r="AL31" s="46">
        <v>0</v>
      </c>
    </row>
    <row r="32" spans="1:38" ht="12.75">
      <c r="A32" s="7"/>
      <c r="B32" s="7"/>
      <c r="C32" s="261" t="s">
        <v>213</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192">
        <v>16.6</v>
      </c>
      <c r="AK32" s="45">
        <v>0</v>
      </c>
      <c r="AL32" s="45">
        <v>0</v>
      </c>
    </row>
    <row r="33" spans="1:38" ht="12.75">
      <c r="A33" s="7"/>
      <c r="B33" s="369" t="s">
        <v>214</v>
      </c>
      <c r="C33" s="369"/>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196">
        <v>1051.5423368214988</v>
      </c>
      <c r="AK33" s="46">
        <v>0</v>
      </c>
      <c r="AL33" s="46">
        <v>0</v>
      </c>
    </row>
    <row r="34" spans="1:38" ht="12.75">
      <c r="A34" s="7"/>
      <c r="B34" s="9"/>
      <c r="C34" s="9"/>
      <c r="D34" s="46"/>
      <c r="E34" s="46"/>
      <c r="F34" s="255"/>
      <c r="G34" s="255"/>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192">
        <v>0</v>
      </c>
      <c r="AK36" s="45">
        <v>0</v>
      </c>
      <c r="AL36" s="45">
        <v>0</v>
      </c>
    </row>
    <row r="37" spans="1:38" ht="12.75">
      <c r="A37" s="7"/>
      <c r="B37" s="369" t="s">
        <v>27</v>
      </c>
      <c r="C37" s="369"/>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19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45">
        <v>0</v>
      </c>
      <c r="AL40" s="45">
        <v>0</v>
      </c>
    </row>
    <row r="41" spans="1:38" ht="12.75">
      <c r="A41" s="7"/>
      <c r="B41" s="369" t="s">
        <v>27</v>
      </c>
      <c r="C41" s="369"/>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19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59"/>
      <c r="C43" s="259"/>
      <c r="D43" s="265">
        <v>0</v>
      </c>
      <c r="E43" s="265">
        <v>0</v>
      </c>
      <c r="F43" s="265">
        <v>865.4789390438234</v>
      </c>
      <c r="G43" s="265">
        <v>1649.4153856559838</v>
      </c>
      <c r="H43" s="265">
        <v>1719.0446825713548</v>
      </c>
      <c r="I43" s="265">
        <v>1768.1909886323392</v>
      </c>
      <c r="J43" s="265">
        <v>1774.888200793733</v>
      </c>
      <c r="K43" s="265">
        <v>1776.569201046243</v>
      </c>
      <c r="L43" s="265">
        <v>1776.569201046243</v>
      </c>
      <c r="M43" s="265">
        <v>1776.569201046243</v>
      </c>
      <c r="N43" s="265">
        <v>1776.569201046243</v>
      </c>
      <c r="O43" s="265">
        <v>1776.569201046243</v>
      </c>
      <c r="P43" s="265">
        <v>1776.569201046243</v>
      </c>
      <c r="Q43" s="265">
        <v>1776.569201046243</v>
      </c>
      <c r="R43" s="265">
        <v>1776.569201046243</v>
      </c>
      <c r="S43" s="265">
        <v>1776.569201046243</v>
      </c>
      <c r="T43" s="265">
        <v>1776.569201046243</v>
      </c>
      <c r="U43" s="265">
        <v>1776.569201046243</v>
      </c>
      <c r="V43" s="265">
        <v>1776.569201046243</v>
      </c>
      <c r="W43" s="265">
        <v>1776.569201046243</v>
      </c>
      <c r="X43" s="265">
        <v>1776.569201046243</v>
      </c>
      <c r="Y43" s="265">
        <v>1776.569201046243</v>
      </c>
      <c r="Z43" s="265">
        <v>1776.569201046243</v>
      </c>
      <c r="AA43" s="265">
        <v>1776.569201046243</v>
      </c>
      <c r="AB43" s="265">
        <v>1776.569201046243</v>
      </c>
      <c r="AC43" s="265">
        <v>1776.569201046243</v>
      </c>
      <c r="AD43" s="265">
        <v>1776.569201046243</v>
      </c>
      <c r="AE43" s="265">
        <v>1776.569201046243</v>
      </c>
      <c r="AF43" s="265">
        <v>1776.569201046243</v>
      </c>
      <c r="AG43" s="265">
        <v>1776.569201046243</v>
      </c>
      <c r="AH43" s="265">
        <v>1776.569201046243</v>
      </c>
      <c r="AI43" s="265">
        <v>1776.569201046243</v>
      </c>
      <c r="AJ43" s="265">
        <v>1776.569201046243</v>
      </c>
      <c r="AK43" s="265">
        <v>0</v>
      </c>
      <c r="AL43" s="265">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215</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34000</v>
      </c>
      <c r="AK45" s="45">
        <v>0</v>
      </c>
      <c r="AL45" s="45">
        <v>0</v>
      </c>
    </row>
    <row r="46" spans="1:38" ht="12.75">
      <c r="A46" s="7"/>
      <c r="B46" s="7"/>
      <c r="C46" s="9" t="s">
        <v>216</v>
      </c>
      <c r="D46" s="266">
        <v>0</v>
      </c>
      <c r="E46" s="266">
        <v>0</v>
      </c>
      <c r="F46" s="266">
        <v>0.1593</v>
      </c>
      <c r="G46" s="266">
        <v>0.1593</v>
      </c>
      <c r="H46" s="266">
        <v>0.1593</v>
      </c>
      <c r="I46" s="266">
        <v>0.1593</v>
      </c>
      <c r="J46" s="266">
        <v>0.1593</v>
      </c>
      <c r="K46" s="266">
        <v>0.1593</v>
      </c>
      <c r="L46" s="266">
        <v>0.1593</v>
      </c>
      <c r="M46" s="266">
        <v>0.1593</v>
      </c>
      <c r="N46" s="266">
        <v>0.1593</v>
      </c>
      <c r="O46" s="266">
        <v>0.1593</v>
      </c>
      <c r="P46" s="266">
        <v>0.1593</v>
      </c>
      <c r="Q46" s="266">
        <v>0.1593</v>
      </c>
      <c r="R46" s="266">
        <v>0.1593</v>
      </c>
      <c r="S46" s="266">
        <v>0.1593</v>
      </c>
      <c r="T46" s="266">
        <v>0.1593</v>
      </c>
      <c r="U46" s="266">
        <v>0.1593</v>
      </c>
      <c r="V46" s="266">
        <v>0.1593</v>
      </c>
      <c r="W46" s="266">
        <v>0.1593</v>
      </c>
      <c r="X46" s="266">
        <v>0.1593</v>
      </c>
      <c r="Y46" s="266">
        <v>0.1593</v>
      </c>
      <c r="Z46" s="266">
        <v>0.1593</v>
      </c>
      <c r="AA46" s="266">
        <v>0.1593</v>
      </c>
      <c r="AB46" s="266">
        <v>0.1593</v>
      </c>
      <c r="AC46" s="266">
        <v>0.1593</v>
      </c>
      <c r="AD46" s="266">
        <v>0.1593</v>
      </c>
      <c r="AE46" s="266">
        <v>0.1593</v>
      </c>
      <c r="AF46" s="266">
        <v>0.1593</v>
      </c>
      <c r="AG46" s="266">
        <v>0.1593</v>
      </c>
      <c r="AH46" s="266">
        <v>0.1593</v>
      </c>
      <c r="AI46" s="266">
        <v>0.1593</v>
      </c>
      <c r="AJ46" s="266">
        <v>0.1593</v>
      </c>
      <c r="AK46" s="45">
        <v>0</v>
      </c>
      <c r="AL46" s="45">
        <v>0</v>
      </c>
    </row>
    <row r="47" spans="1:38" ht="12.75">
      <c r="A47" s="7"/>
      <c r="B47" s="369" t="s">
        <v>217</v>
      </c>
      <c r="C47" s="369"/>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196">
        <v>5416.2</v>
      </c>
      <c r="AK47" s="46">
        <v>0</v>
      </c>
      <c r="AL47" s="46">
        <v>0</v>
      </c>
    </row>
    <row r="48" spans="1:38" ht="12.75">
      <c r="A48" s="7"/>
      <c r="B48" s="9"/>
      <c r="C48" s="9"/>
      <c r="D48" s="46"/>
      <c r="E48" s="46"/>
      <c r="F48" s="26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6">
        <v>0</v>
      </c>
      <c r="E50" s="266">
        <v>0</v>
      </c>
      <c r="F50" s="266">
        <v>0</v>
      </c>
      <c r="G50" s="266">
        <v>0</v>
      </c>
      <c r="H50" s="266">
        <v>0</v>
      </c>
      <c r="I50" s="266">
        <v>0</v>
      </c>
      <c r="J50" s="266">
        <v>0</v>
      </c>
      <c r="K50" s="266">
        <v>0</v>
      </c>
      <c r="L50" s="266">
        <v>0</v>
      </c>
      <c r="M50" s="266">
        <v>0</v>
      </c>
      <c r="N50" s="266">
        <v>0</v>
      </c>
      <c r="O50" s="266">
        <v>0</v>
      </c>
      <c r="P50" s="266">
        <v>0</v>
      </c>
      <c r="Q50" s="266">
        <v>0</v>
      </c>
      <c r="R50" s="266">
        <v>0</v>
      </c>
      <c r="S50" s="266">
        <v>0</v>
      </c>
      <c r="T50" s="266">
        <v>0</v>
      </c>
      <c r="U50" s="266">
        <v>0</v>
      </c>
      <c r="V50" s="266">
        <v>0</v>
      </c>
      <c r="W50" s="266">
        <v>0</v>
      </c>
      <c r="X50" s="266">
        <v>0</v>
      </c>
      <c r="Y50" s="266">
        <v>0</v>
      </c>
      <c r="Z50" s="266">
        <v>0</v>
      </c>
      <c r="AA50" s="266">
        <v>0</v>
      </c>
      <c r="AB50" s="266">
        <v>0</v>
      </c>
      <c r="AC50" s="266">
        <v>0</v>
      </c>
      <c r="AD50" s="266">
        <v>0</v>
      </c>
      <c r="AE50" s="266">
        <v>0</v>
      </c>
      <c r="AF50" s="266">
        <v>0</v>
      </c>
      <c r="AG50" s="266">
        <v>0</v>
      </c>
      <c r="AH50" s="266">
        <v>0</v>
      </c>
      <c r="AI50" s="266">
        <v>0</v>
      </c>
      <c r="AJ50" s="266">
        <v>0</v>
      </c>
      <c r="AK50" s="45">
        <v>0</v>
      </c>
      <c r="AL50" s="45">
        <v>0</v>
      </c>
    </row>
    <row r="51" spans="1:38" ht="12.75">
      <c r="A51" s="7"/>
      <c r="B51" s="369" t="s">
        <v>27</v>
      </c>
      <c r="C51" s="369"/>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19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196">
        <v>5416.2</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197">
        <v>995.82</v>
      </c>
      <c r="AK55" s="45">
        <v>0</v>
      </c>
      <c r="AL55" s="45">
        <v>0</v>
      </c>
    </row>
    <row r="56" spans="1:38" ht="12.75">
      <c r="A56" s="11"/>
      <c r="B56" s="19"/>
      <c r="C56" s="19"/>
      <c r="D56" s="46"/>
      <c r="E56" s="46"/>
      <c r="F56" s="255"/>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8" t="s">
        <v>64</v>
      </c>
      <c r="B57" s="256"/>
      <c r="C57" s="256"/>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218</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195">
        <v>8188.589201046243</v>
      </c>
      <c r="AK59" s="269">
        <v>0</v>
      </c>
      <c r="AL59" s="269">
        <v>0</v>
      </c>
    </row>
    <row r="60" spans="1:38" s="8" customFormat="1" ht="12.75">
      <c r="A60" s="11"/>
      <c r="B60" s="19"/>
      <c r="C60" s="1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row>
    <row r="61" spans="1:38" s="35" customFormat="1" ht="12.75">
      <c r="A61" s="258" t="s">
        <v>219</v>
      </c>
      <c r="B61" s="270"/>
      <c r="C61" s="270"/>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1</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192">
        <v>547.7</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196">
        <v>2313.4848</v>
      </c>
      <c r="AK66" s="46">
        <v>0</v>
      </c>
      <c r="AL66" s="46">
        <v>0</v>
      </c>
    </row>
    <row r="67" spans="2:38" ht="12.75">
      <c r="B67" s="9"/>
      <c r="C67" s="21"/>
      <c r="D67" s="46"/>
      <c r="E67" s="46"/>
      <c r="F67" s="263"/>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196">
        <v>8885.8848</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127</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498.57</v>
      </c>
      <c r="AK70" s="197">
        <v>0</v>
      </c>
      <c r="AL70" s="197">
        <v>0</v>
      </c>
    </row>
    <row r="71" spans="4:38" ht="12.75">
      <c r="D71" s="46"/>
      <c r="E71" s="46"/>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46"/>
      <c r="AL71" s="46"/>
    </row>
    <row r="72" spans="1:38" s="196" customFormat="1" ht="12.75">
      <c r="A72" s="268" t="s">
        <v>64</v>
      </c>
      <c r="B72" s="253"/>
      <c r="C72" s="253"/>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8" t="s">
        <v>65</v>
      </c>
      <c r="B74" s="256"/>
      <c r="C74" s="256"/>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8" t="s">
        <v>66</v>
      </c>
      <c r="B76" s="256"/>
      <c r="C76" s="256"/>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8" t="s">
        <v>220</v>
      </c>
      <c r="B78" s="253"/>
      <c r="C78" s="253"/>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8885.8848</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8" t="s">
        <v>35</v>
      </c>
      <c r="B80" s="253"/>
      <c r="C80" s="253"/>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18999.72400104624</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174</v>
      </c>
      <c r="D1" s="20">
        <f>'Peňažné toky projektu'!$B$14</f>
        <v>2014</v>
      </c>
      <c r="E1" s="20">
        <f>D1+1</f>
        <v>2015</v>
      </c>
      <c r="F1" s="20">
        <f aca="true" t="shared" si="0" ref="F1:AL1">E1+1</f>
        <v>2016</v>
      </c>
      <c r="G1" s="20">
        <f t="shared" si="0"/>
        <v>2017</v>
      </c>
      <c r="H1" s="20">
        <f t="shared" si="0"/>
        <v>2018</v>
      </c>
      <c r="I1" s="20">
        <f t="shared" si="0"/>
        <v>2019</v>
      </c>
      <c r="J1" s="20">
        <f t="shared" si="0"/>
        <v>2020</v>
      </c>
      <c r="K1" s="20">
        <f t="shared" si="0"/>
        <v>2021</v>
      </c>
      <c r="L1" s="20">
        <f t="shared" si="0"/>
        <v>2022</v>
      </c>
      <c r="M1" s="20">
        <f t="shared" si="0"/>
        <v>2023</v>
      </c>
      <c r="N1" s="20">
        <f t="shared" si="0"/>
        <v>2024</v>
      </c>
      <c r="O1" s="20">
        <f t="shared" si="0"/>
        <v>2025</v>
      </c>
      <c r="P1" s="20">
        <f t="shared" si="0"/>
        <v>2026</v>
      </c>
      <c r="Q1" s="20">
        <f t="shared" si="0"/>
        <v>2027</v>
      </c>
      <c r="R1" s="20">
        <f t="shared" si="0"/>
        <v>2028</v>
      </c>
      <c r="S1" s="20">
        <f t="shared" si="0"/>
        <v>2029</v>
      </c>
      <c r="T1" s="20">
        <f t="shared" si="0"/>
        <v>2030</v>
      </c>
      <c r="U1" s="20">
        <f t="shared" si="0"/>
        <v>2031</v>
      </c>
      <c r="V1" s="20">
        <f t="shared" si="0"/>
        <v>2032</v>
      </c>
      <c r="W1" s="20">
        <f t="shared" si="0"/>
        <v>2033</v>
      </c>
      <c r="X1" s="20">
        <f t="shared" si="0"/>
        <v>2034</v>
      </c>
      <c r="Y1" s="20">
        <f t="shared" si="0"/>
        <v>2035</v>
      </c>
      <c r="Z1" s="20">
        <f t="shared" si="0"/>
        <v>2036</v>
      </c>
      <c r="AA1" s="20">
        <f t="shared" si="0"/>
        <v>2037</v>
      </c>
      <c r="AB1" s="20">
        <f t="shared" si="0"/>
        <v>2038</v>
      </c>
      <c r="AC1" s="20">
        <f t="shared" si="0"/>
        <v>2039</v>
      </c>
      <c r="AD1" s="20">
        <f t="shared" si="0"/>
        <v>2040</v>
      </c>
      <c r="AE1" s="20">
        <f t="shared" si="0"/>
        <v>2041</v>
      </c>
      <c r="AF1" s="20">
        <f t="shared" si="0"/>
        <v>2042</v>
      </c>
      <c r="AG1" s="20">
        <f t="shared" si="0"/>
        <v>2043</v>
      </c>
      <c r="AH1" s="20">
        <f t="shared" si="0"/>
        <v>2044</v>
      </c>
      <c r="AI1" s="20">
        <f t="shared" si="0"/>
        <v>2045</v>
      </c>
      <c r="AJ1" s="20">
        <f t="shared" si="0"/>
        <v>2046</v>
      </c>
      <c r="AK1" s="20">
        <f t="shared" si="0"/>
        <v>2047</v>
      </c>
      <c r="AL1" s="20">
        <f t="shared" si="0"/>
        <v>2048</v>
      </c>
    </row>
    <row r="2" ht="12.75"/>
    <row r="3" spans="3:36" ht="12.75">
      <c r="C3" s="273" t="s">
        <v>221</v>
      </c>
      <c r="D3" s="274">
        <v>930</v>
      </c>
      <c r="E3" s="275">
        <v>939.3</v>
      </c>
      <c r="F3" s="275">
        <v>948.693</v>
      </c>
      <c r="G3" s="275">
        <v>956.282544</v>
      </c>
      <c r="H3" s="275">
        <v>962.9765218079999</v>
      </c>
      <c r="I3" s="275">
        <v>968.7543809388479</v>
      </c>
      <c r="J3" s="275">
        <v>972.6293984626034</v>
      </c>
      <c r="K3" s="275">
        <v>973.6020278610658</v>
      </c>
      <c r="L3" s="275">
        <v>973.6020278610658</v>
      </c>
      <c r="M3" s="275">
        <v>973.6020278610658</v>
      </c>
      <c r="N3" s="275">
        <v>973.6020278610658</v>
      </c>
      <c r="O3" s="275">
        <v>973.6020278610658</v>
      </c>
      <c r="P3" s="275">
        <v>973.6020278610658</v>
      </c>
      <c r="Q3" s="275">
        <v>973.6020278610658</v>
      </c>
      <c r="R3" s="275">
        <v>973.6020278610658</v>
      </c>
      <c r="S3" s="275">
        <v>973.6020278610658</v>
      </c>
      <c r="T3" s="275">
        <v>973.6020278610658</v>
      </c>
      <c r="U3" s="275">
        <v>973.6020278610658</v>
      </c>
      <c r="V3" s="275">
        <v>973.6020278610658</v>
      </c>
      <c r="W3" s="275">
        <v>973.6020278610658</v>
      </c>
      <c r="X3" s="275">
        <v>973.6020278610658</v>
      </c>
      <c r="Y3" s="275">
        <v>973.6020278610658</v>
      </c>
      <c r="Z3" s="275">
        <v>973.6020278610658</v>
      </c>
      <c r="AA3" s="275">
        <v>973.6020278610658</v>
      </c>
      <c r="AB3" s="275">
        <v>973.6020278610658</v>
      </c>
      <c r="AC3" s="275">
        <v>973.6020278610658</v>
      </c>
      <c r="AD3" s="275">
        <v>973.6020278610658</v>
      </c>
      <c r="AE3" s="275">
        <v>973.6020278610658</v>
      </c>
      <c r="AF3" s="275">
        <v>973.6020278610658</v>
      </c>
      <c r="AG3" s="275">
        <v>973.6020278610658</v>
      </c>
      <c r="AH3" s="275">
        <v>973.6020278610658</v>
      </c>
      <c r="AI3" s="275">
        <v>973.6020278610658</v>
      </c>
      <c r="AJ3" s="275">
        <v>973.6020278610658</v>
      </c>
    </row>
    <row r="4" spans="3:36" ht="12.75">
      <c r="C4" s="261" t="s">
        <v>222</v>
      </c>
      <c r="D4" s="276">
        <v>0.01</v>
      </c>
      <c r="E4" s="276">
        <v>0.01</v>
      </c>
      <c r="F4" s="276">
        <v>0.008</v>
      </c>
      <c r="G4" s="276">
        <v>0.007</v>
      </c>
      <c r="H4" s="276">
        <v>0.006</v>
      </c>
      <c r="I4" s="276">
        <v>0.004</v>
      </c>
      <c r="J4" s="276">
        <v>0.001</v>
      </c>
      <c r="K4" s="276">
        <v>0</v>
      </c>
      <c r="L4" s="276">
        <v>0</v>
      </c>
      <c r="M4" s="276">
        <v>0</v>
      </c>
      <c r="N4" s="276">
        <v>0</v>
      </c>
      <c r="O4" s="276">
        <v>0</v>
      </c>
      <c r="P4" s="276">
        <v>0</v>
      </c>
      <c r="Q4" s="276">
        <v>0</v>
      </c>
      <c r="R4" s="276">
        <v>0</v>
      </c>
      <c r="S4" s="276">
        <v>0</v>
      </c>
      <c r="T4" s="276">
        <v>0</v>
      </c>
      <c r="U4" s="276">
        <v>0</v>
      </c>
      <c r="V4" s="276">
        <v>0</v>
      </c>
      <c r="W4" s="276">
        <v>0</v>
      </c>
      <c r="X4" s="276">
        <v>0</v>
      </c>
      <c r="Y4" s="276">
        <v>0</v>
      </c>
      <c r="Z4" s="276">
        <v>0</v>
      </c>
      <c r="AA4" s="276">
        <v>0</v>
      </c>
      <c r="AB4" s="276">
        <v>0</v>
      </c>
      <c r="AC4" s="276">
        <v>0</v>
      </c>
      <c r="AD4" s="276">
        <v>0</v>
      </c>
      <c r="AE4" s="276">
        <v>0</v>
      </c>
      <c r="AF4" s="276">
        <v>0</v>
      </c>
      <c r="AG4" s="276">
        <v>0</v>
      </c>
      <c r="AH4" s="276">
        <v>0</v>
      </c>
      <c r="AI4" s="276">
        <v>0</v>
      </c>
      <c r="AJ4" s="276">
        <v>0</v>
      </c>
    </row>
    <row r="5" ht="12.75">
      <c r="C5" s="273"/>
    </row>
    <row r="6" spans="3:36" ht="12.75">
      <c r="C6" s="261" t="s">
        <v>223</v>
      </c>
      <c r="D6" s="277">
        <v>0</v>
      </c>
      <c r="E6" s="277">
        <v>0</v>
      </c>
      <c r="F6" s="277">
        <v>0.4</v>
      </c>
      <c r="G6" s="277">
        <v>0.8</v>
      </c>
      <c r="H6" s="277">
        <v>0.83</v>
      </c>
      <c r="I6" s="277">
        <v>0.85</v>
      </c>
      <c r="J6" s="277">
        <v>0.85</v>
      </c>
      <c r="K6" s="277">
        <v>0.85</v>
      </c>
      <c r="L6" s="277">
        <v>0.85</v>
      </c>
      <c r="M6" s="277">
        <v>0.85</v>
      </c>
      <c r="N6" s="277">
        <v>0.85</v>
      </c>
      <c r="O6" s="277">
        <v>0.85</v>
      </c>
      <c r="P6" s="277">
        <v>0.85</v>
      </c>
      <c r="Q6" s="277">
        <v>0.85</v>
      </c>
      <c r="R6" s="277">
        <v>0.85</v>
      </c>
      <c r="S6" s="277">
        <v>0.85</v>
      </c>
      <c r="T6" s="277">
        <v>0.85</v>
      </c>
      <c r="U6" s="277">
        <v>0.85</v>
      </c>
      <c r="V6" s="277">
        <v>0.85</v>
      </c>
      <c r="W6" s="277">
        <v>0.85</v>
      </c>
      <c r="X6" s="277">
        <v>0.85</v>
      </c>
      <c r="Y6" s="277">
        <v>0.85</v>
      </c>
      <c r="Z6" s="277">
        <v>0.85</v>
      </c>
      <c r="AA6" s="277">
        <v>0.85</v>
      </c>
      <c r="AB6" s="277">
        <v>0.85</v>
      </c>
      <c r="AC6" s="277">
        <v>0.85</v>
      </c>
      <c r="AD6" s="277">
        <v>0.85</v>
      </c>
      <c r="AE6" s="277">
        <v>0.85</v>
      </c>
      <c r="AF6" s="277">
        <v>0.85</v>
      </c>
      <c r="AG6" s="277">
        <v>0.85</v>
      </c>
      <c r="AH6" s="277">
        <v>0.85</v>
      </c>
      <c r="AI6" s="277">
        <v>0.85</v>
      </c>
      <c r="AJ6" s="277">
        <v>1.85</v>
      </c>
    </row>
    <row r="7" spans="3:36" ht="12.75">
      <c r="C7" s="261" t="s">
        <v>224</v>
      </c>
      <c r="D7" s="275">
        <v>0</v>
      </c>
      <c r="E7" s="275">
        <v>0</v>
      </c>
      <c r="F7" s="275">
        <v>379.47720000000004</v>
      </c>
      <c r="G7" s="275">
        <v>765.0260352</v>
      </c>
      <c r="H7" s="275">
        <v>799.2705131006398</v>
      </c>
      <c r="I7" s="275">
        <v>823.4412237980207</v>
      </c>
      <c r="J7" s="275">
        <v>826.7349886932128</v>
      </c>
      <c r="K7" s="275">
        <v>827.561723681906</v>
      </c>
      <c r="L7" s="275">
        <v>827.561723681906</v>
      </c>
      <c r="M7" s="275">
        <v>827.561723681906</v>
      </c>
      <c r="N7" s="275">
        <v>827.561723681906</v>
      </c>
      <c r="O7" s="275">
        <v>827.561723681906</v>
      </c>
      <c r="P7" s="275">
        <v>827.561723681906</v>
      </c>
      <c r="Q7" s="275">
        <v>827.561723681906</v>
      </c>
      <c r="R7" s="275">
        <v>827.561723681906</v>
      </c>
      <c r="S7" s="275">
        <v>827.561723681906</v>
      </c>
      <c r="T7" s="275">
        <v>827.561723681906</v>
      </c>
      <c r="U7" s="275">
        <v>827.561723681906</v>
      </c>
      <c r="V7" s="275">
        <v>827.561723681906</v>
      </c>
      <c r="W7" s="275">
        <v>827.561723681906</v>
      </c>
      <c r="X7" s="275">
        <v>827.561723681906</v>
      </c>
      <c r="Y7" s="275">
        <v>827.561723681906</v>
      </c>
      <c r="Z7" s="275">
        <v>827.561723681906</v>
      </c>
      <c r="AA7" s="275">
        <v>827.561723681906</v>
      </c>
      <c r="AB7" s="275">
        <v>827.561723681906</v>
      </c>
      <c r="AC7" s="275">
        <v>827.561723681906</v>
      </c>
      <c r="AD7" s="275">
        <v>827.561723681906</v>
      </c>
      <c r="AE7" s="275">
        <v>827.561723681906</v>
      </c>
      <c r="AF7" s="275">
        <v>827.561723681906</v>
      </c>
      <c r="AG7" s="275">
        <v>827.561723681906</v>
      </c>
      <c r="AH7" s="275">
        <v>827.561723681906</v>
      </c>
      <c r="AI7" s="275">
        <v>827.561723681906</v>
      </c>
      <c r="AJ7" s="275">
        <v>828.561723681906</v>
      </c>
    </row>
    <row r="8" ht="12.75">
      <c r="C8" s="273"/>
    </row>
    <row r="9" spans="1:3" ht="12.75">
      <c r="A9" s="34" t="s">
        <v>225</v>
      </c>
      <c r="C9" s="273"/>
    </row>
    <row r="10" spans="3:36" ht="12.75">
      <c r="C10" s="261" t="s">
        <v>226</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c r="AJ10" s="17">
        <v>89</v>
      </c>
    </row>
    <row r="11" spans="3:36" ht="12.75">
      <c r="C11" s="261" t="s">
        <v>227</v>
      </c>
      <c r="D11" s="278">
        <v>32.485</v>
      </c>
      <c r="E11" s="278">
        <v>32.485</v>
      </c>
      <c r="F11" s="278">
        <v>32.485</v>
      </c>
      <c r="G11" s="278">
        <v>32.485</v>
      </c>
      <c r="H11" s="278">
        <v>32.485</v>
      </c>
      <c r="I11" s="278">
        <v>32.485</v>
      </c>
      <c r="J11" s="278">
        <v>32.485</v>
      </c>
      <c r="K11" s="278">
        <v>32.485</v>
      </c>
      <c r="L11" s="278">
        <v>32.485</v>
      </c>
      <c r="M11" s="278">
        <v>32.485</v>
      </c>
      <c r="N11" s="278">
        <v>32.485</v>
      </c>
      <c r="O11" s="278">
        <v>32.485</v>
      </c>
      <c r="P11" s="278">
        <v>32.485</v>
      </c>
      <c r="Q11" s="278">
        <v>32.485</v>
      </c>
      <c r="R11" s="278">
        <v>32.485</v>
      </c>
      <c r="S11" s="278">
        <v>32.485</v>
      </c>
      <c r="T11" s="278">
        <v>32.485</v>
      </c>
      <c r="U11" s="278">
        <v>32.485</v>
      </c>
      <c r="V11" s="278">
        <v>32.485</v>
      </c>
      <c r="W11" s="278">
        <v>32.485</v>
      </c>
      <c r="X11" s="278">
        <v>32.485</v>
      </c>
      <c r="Y11" s="278">
        <v>32.485</v>
      </c>
      <c r="Z11" s="278">
        <v>32.485</v>
      </c>
      <c r="AA11" s="278">
        <v>32.485</v>
      </c>
      <c r="AB11" s="278">
        <v>32.485</v>
      </c>
      <c r="AC11" s="278">
        <v>32.485</v>
      </c>
      <c r="AD11" s="278">
        <v>32.485</v>
      </c>
      <c r="AE11" s="278">
        <v>32.485</v>
      </c>
      <c r="AF11" s="278">
        <v>32.485</v>
      </c>
      <c r="AG11" s="278">
        <v>32.485</v>
      </c>
      <c r="AH11" s="278">
        <v>32.485</v>
      </c>
      <c r="AI11" s="278">
        <v>32.485</v>
      </c>
      <c r="AJ11" s="278">
        <v>32.485</v>
      </c>
    </row>
    <row r="12" ht="12.75"/>
    <row r="13" spans="3:38" ht="12.75">
      <c r="C13" s="261" t="s">
        <v>228</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6">
        <v>26883.342593806716</v>
      </c>
      <c r="AK13" s="45">
        <v>0</v>
      </c>
      <c r="AL13" s="45">
        <v>0</v>
      </c>
    </row>
    <row r="14" spans="3:38" ht="12.75">
      <c r="C14" s="261" t="s">
        <v>229</v>
      </c>
      <c r="D14" s="266">
        <v>0</v>
      </c>
      <c r="E14" s="266">
        <v>0</v>
      </c>
      <c r="F14" s="266">
        <v>1.1452</v>
      </c>
      <c r="G14" s="266">
        <v>1.1452</v>
      </c>
      <c r="H14" s="266">
        <v>1.1452</v>
      </c>
      <c r="I14" s="266">
        <v>1.1452</v>
      </c>
      <c r="J14" s="266">
        <v>1.1452</v>
      </c>
      <c r="K14" s="266">
        <v>1.1452</v>
      </c>
      <c r="L14" s="266">
        <v>1.1452</v>
      </c>
      <c r="M14" s="266">
        <v>1.1452</v>
      </c>
      <c r="N14" s="266">
        <v>1.1452</v>
      </c>
      <c r="O14" s="266">
        <v>1.1452</v>
      </c>
      <c r="P14" s="266">
        <v>1.1452</v>
      </c>
      <c r="Q14" s="266">
        <v>1.1452</v>
      </c>
      <c r="R14" s="266">
        <v>1.1452</v>
      </c>
      <c r="S14" s="266">
        <v>1.1452</v>
      </c>
      <c r="T14" s="266">
        <v>1.1452</v>
      </c>
      <c r="U14" s="266">
        <v>1.1452</v>
      </c>
      <c r="V14" s="266">
        <v>1.1452</v>
      </c>
      <c r="W14" s="266">
        <v>1.1452</v>
      </c>
      <c r="X14" s="266">
        <v>1.1452</v>
      </c>
      <c r="Y14" s="266">
        <v>1.1452</v>
      </c>
      <c r="Z14" s="266">
        <v>1.1452</v>
      </c>
      <c r="AA14" s="266">
        <v>1.1452</v>
      </c>
      <c r="AB14" s="266">
        <v>1.1452</v>
      </c>
      <c r="AC14" s="266">
        <v>1.1452</v>
      </c>
      <c r="AD14" s="266">
        <v>1.1452</v>
      </c>
      <c r="AE14" s="266">
        <v>1.1452</v>
      </c>
      <c r="AF14" s="266">
        <v>1.1452</v>
      </c>
      <c r="AG14" s="266">
        <v>1.1452</v>
      </c>
      <c r="AH14" s="266">
        <v>1.1452</v>
      </c>
      <c r="AI14" s="266">
        <v>1.1452</v>
      </c>
      <c r="AJ14" s="266">
        <v>1.1452</v>
      </c>
      <c r="AK14" s="45">
        <v>0</v>
      </c>
      <c r="AL14" s="45">
        <v>0</v>
      </c>
    </row>
    <row r="15" spans="2:38" ht="12.75">
      <c r="B15" s="369" t="s">
        <v>230</v>
      </c>
      <c r="C15" s="369"/>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196">
        <v>30786.803938427453</v>
      </c>
      <c r="AK15" s="46">
        <v>0</v>
      </c>
      <c r="AL15" s="46">
        <v>0</v>
      </c>
    </row>
    <row r="16" spans="2:38" ht="12.75">
      <c r="B16" s="9"/>
      <c r="C16" s="9"/>
      <c r="D16" s="46"/>
      <c r="E16" s="46"/>
      <c r="F16" s="263"/>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1" t="s">
        <v>231</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1500</v>
      </c>
      <c r="AK17" s="45">
        <v>0</v>
      </c>
      <c r="AL17" s="45">
        <v>0</v>
      </c>
    </row>
    <row r="18" spans="3:38" ht="12.75">
      <c r="C18" s="261" t="s">
        <v>229</v>
      </c>
      <c r="D18" s="266">
        <v>0</v>
      </c>
      <c r="E18" s="266">
        <v>0</v>
      </c>
      <c r="F18" s="266">
        <v>1.1452</v>
      </c>
      <c r="G18" s="266">
        <v>1.1452</v>
      </c>
      <c r="H18" s="266">
        <v>1.1452</v>
      </c>
      <c r="I18" s="266">
        <v>1.1452</v>
      </c>
      <c r="J18" s="266">
        <v>1.1452</v>
      </c>
      <c r="K18" s="266">
        <v>1.1452</v>
      </c>
      <c r="L18" s="266">
        <v>1.1452</v>
      </c>
      <c r="M18" s="266">
        <v>1.1452</v>
      </c>
      <c r="N18" s="266">
        <v>1.1452</v>
      </c>
      <c r="O18" s="266">
        <v>1.1452</v>
      </c>
      <c r="P18" s="266">
        <v>1.1452</v>
      </c>
      <c r="Q18" s="266">
        <v>1.1452</v>
      </c>
      <c r="R18" s="266">
        <v>1.1452</v>
      </c>
      <c r="S18" s="266">
        <v>1.1452</v>
      </c>
      <c r="T18" s="266">
        <v>1.1452</v>
      </c>
      <c r="U18" s="266">
        <v>1.1452</v>
      </c>
      <c r="V18" s="266">
        <v>1.1452</v>
      </c>
      <c r="W18" s="266">
        <v>1.1452</v>
      </c>
      <c r="X18" s="266">
        <v>1.1452</v>
      </c>
      <c r="Y18" s="266">
        <v>1.1452</v>
      </c>
      <c r="Z18" s="266">
        <v>1.1452</v>
      </c>
      <c r="AA18" s="266">
        <v>1.1452</v>
      </c>
      <c r="AB18" s="266">
        <v>1.1452</v>
      </c>
      <c r="AC18" s="266">
        <v>1.1452</v>
      </c>
      <c r="AD18" s="266">
        <v>1.1452</v>
      </c>
      <c r="AE18" s="266">
        <v>1.1452</v>
      </c>
      <c r="AF18" s="266">
        <v>1.1452</v>
      </c>
      <c r="AG18" s="266">
        <v>1.1452</v>
      </c>
      <c r="AH18" s="266">
        <v>1.1452</v>
      </c>
      <c r="AI18" s="266">
        <v>1.1452</v>
      </c>
      <c r="AJ18" s="266">
        <v>1.1452</v>
      </c>
      <c r="AK18" s="45">
        <v>0</v>
      </c>
      <c r="AL18" s="45">
        <v>0</v>
      </c>
    </row>
    <row r="19" spans="2:38" ht="12.75">
      <c r="B19" s="369" t="s">
        <v>232</v>
      </c>
      <c r="C19" s="369"/>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196">
        <v>1717.8</v>
      </c>
      <c r="AK19" s="46">
        <v>0</v>
      </c>
      <c r="AL19" s="46">
        <v>0</v>
      </c>
    </row>
    <row r="20" spans="2:38" ht="12.75">
      <c r="B20" s="9"/>
      <c r="C20" s="9"/>
      <c r="D20" s="46"/>
      <c r="E20" s="46"/>
      <c r="F20" s="263"/>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45">
        <v>0</v>
      </c>
      <c r="AL22" s="45">
        <v>0</v>
      </c>
    </row>
    <row r="23" spans="2:38" ht="12.75">
      <c r="B23" s="369" t="s">
        <v>27</v>
      </c>
      <c r="C23" s="369"/>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19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45">
        <v>0</v>
      </c>
      <c r="AL26" s="45">
        <v>0</v>
      </c>
    </row>
    <row r="27" spans="2:38" ht="12.75">
      <c r="B27" s="369" t="s">
        <v>27</v>
      </c>
      <c r="C27" s="369"/>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19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192">
        <v>0</v>
      </c>
      <c r="AK30" s="45">
        <v>0</v>
      </c>
      <c r="AL30" s="45">
        <v>0</v>
      </c>
    </row>
    <row r="31" spans="2:38" ht="12.75">
      <c r="B31" s="369" t="s">
        <v>27</v>
      </c>
      <c r="C31" s="369"/>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19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192">
        <v>0</v>
      </c>
      <c r="AK34" s="45">
        <v>0</v>
      </c>
      <c r="AL34" s="45">
        <v>0</v>
      </c>
    </row>
    <row r="35" spans="2:38" ht="12.75">
      <c r="B35" s="369" t="s">
        <v>27</v>
      </c>
      <c r="C35" s="369"/>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19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233</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195">
        <v>32504.60393842745</v>
      </c>
      <c r="AK37" s="269">
        <v>0</v>
      </c>
      <c r="AL37" s="269">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174</v>
      </c>
      <c r="B1" s="20">
        <f>'Peňažné toky projektu'!$B$14</f>
        <v>2014</v>
      </c>
      <c r="C1" s="20">
        <f>B1+1</f>
        <v>2015</v>
      </c>
      <c r="D1" s="20">
        <f aca="true" t="shared" si="0" ref="D1:AJ1">C1+1</f>
        <v>2016</v>
      </c>
      <c r="E1" s="20">
        <f t="shared" si="0"/>
        <v>2017</v>
      </c>
      <c r="F1" s="20">
        <f t="shared" si="0"/>
        <v>2018</v>
      </c>
      <c r="G1" s="20">
        <f t="shared" si="0"/>
        <v>2019</v>
      </c>
      <c r="H1" s="20">
        <f t="shared" si="0"/>
        <v>2020</v>
      </c>
      <c r="I1" s="20">
        <f t="shared" si="0"/>
        <v>2021</v>
      </c>
      <c r="J1" s="20">
        <f t="shared" si="0"/>
        <v>2022</v>
      </c>
      <c r="K1" s="20">
        <f t="shared" si="0"/>
        <v>2023</v>
      </c>
      <c r="L1" s="20">
        <f t="shared" si="0"/>
        <v>2024</v>
      </c>
      <c r="M1" s="20">
        <f t="shared" si="0"/>
        <v>2025</v>
      </c>
      <c r="N1" s="20">
        <f t="shared" si="0"/>
        <v>2026</v>
      </c>
      <c r="O1" s="20">
        <f t="shared" si="0"/>
        <v>2027</v>
      </c>
      <c r="P1" s="20">
        <f t="shared" si="0"/>
        <v>2028</v>
      </c>
      <c r="Q1" s="20">
        <f t="shared" si="0"/>
        <v>2029</v>
      </c>
      <c r="R1" s="20">
        <f t="shared" si="0"/>
        <v>2030</v>
      </c>
      <c r="S1" s="20">
        <f t="shared" si="0"/>
        <v>2031</v>
      </c>
      <c r="T1" s="20">
        <f t="shared" si="0"/>
        <v>2032</v>
      </c>
      <c r="U1" s="20">
        <f t="shared" si="0"/>
        <v>2033</v>
      </c>
      <c r="V1" s="20">
        <f t="shared" si="0"/>
        <v>2034</v>
      </c>
      <c r="W1" s="20">
        <f t="shared" si="0"/>
        <v>2035</v>
      </c>
      <c r="X1" s="20">
        <f t="shared" si="0"/>
        <v>2036</v>
      </c>
      <c r="Y1" s="20">
        <f t="shared" si="0"/>
        <v>2037</v>
      </c>
      <c r="Z1" s="20">
        <f t="shared" si="0"/>
        <v>2038</v>
      </c>
      <c r="AA1" s="20">
        <f t="shared" si="0"/>
        <v>2039</v>
      </c>
      <c r="AB1" s="20">
        <f t="shared" si="0"/>
        <v>2040</v>
      </c>
      <c r="AC1" s="20">
        <f t="shared" si="0"/>
        <v>2041</v>
      </c>
      <c r="AD1" s="20">
        <f t="shared" si="0"/>
        <v>2042</v>
      </c>
      <c r="AE1" s="20">
        <f t="shared" si="0"/>
        <v>2043</v>
      </c>
      <c r="AF1" s="20">
        <f t="shared" si="0"/>
        <v>2044</v>
      </c>
      <c r="AG1" s="20">
        <f t="shared" si="0"/>
        <v>2045</v>
      </c>
      <c r="AH1" s="20">
        <f t="shared" si="0"/>
        <v>2046</v>
      </c>
      <c r="AI1" s="20">
        <f t="shared" si="0"/>
        <v>2047</v>
      </c>
      <c r="AJ1" s="20">
        <f t="shared" si="0"/>
        <v>2048</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116</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119</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117</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C7" sqref="C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2014</v>
      </c>
      <c r="D4" s="64">
        <f>C4+1</f>
        <v>2015</v>
      </c>
      <c r="E4" s="64">
        <f aca="true" t="shared" si="0" ref="E4:AK4">D4+1</f>
        <v>2016</v>
      </c>
      <c r="F4" s="64">
        <f t="shared" si="0"/>
        <v>2017</v>
      </c>
      <c r="G4" s="64">
        <f t="shared" si="0"/>
        <v>2018</v>
      </c>
      <c r="H4" s="64">
        <f t="shared" si="0"/>
        <v>2019</v>
      </c>
      <c r="I4" s="64">
        <f t="shared" si="0"/>
        <v>2020</v>
      </c>
      <c r="J4" s="64">
        <f t="shared" si="0"/>
        <v>2021</v>
      </c>
      <c r="K4" s="64">
        <f t="shared" si="0"/>
        <v>2022</v>
      </c>
      <c r="L4" s="64">
        <f t="shared" si="0"/>
        <v>2023</v>
      </c>
      <c r="M4" s="64">
        <f t="shared" si="0"/>
        <v>2024</v>
      </c>
      <c r="N4" s="64">
        <f t="shared" si="0"/>
        <v>2025</v>
      </c>
      <c r="O4" s="64">
        <f t="shared" si="0"/>
        <v>2026</v>
      </c>
      <c r="P4" s="64">
        <f t="shared" si="0"/>
        <v>2027</v>
      </c>
      <c r="Q4" s="64">
        <f t="shared" si="0"/>
        <v>2028</v>
      </c>
      <c r="R4" s="64">
        <f t="shared" si="0"/>
        <v>2029</v>
      </c>
      <c r="S4" s="64">
        <f t="shared" si="0"/>
        <v>2030</v>
      </c>
      <c r="T4" s="64">
        <f t="shared" si="0"/>
        <v>2031</v>
      </c>
      <c r="U4" s="64">
        <f t="shared" si="0"/>
        <v>2032</v>
      </c>
      <c r="V4" s="64">
        <f t="shared" si="0"/>
        <v>2033</v>
      </c>
      <c r="W4" s="64">
        <f t="shared" si="0"/>
        <v>2034</v>
      </c>
      <c r="X4" s="64">
        <f t="shared" si="0"/>
        <v>2035</v>
      </c>
      <c r="Y4" s="64">
        <f t="shared" si="0"/>
        <v>2036</v>
      </c>
      <c r="Z4" s="64">
        <f t="shared" si="0"/>
        <v>2037</v>
      </c>
      <c r="AA4" s="64">
        <f t="shared" si="0"/>
        <v>2038</v>
      </c>
      <c r="AB4" s="64">
        <f t="shared" si="0"/>
        <v>2039</v>
      </c>
      <c r="AC4" s="64">
        <f t="shared" si="0"/>
        <v>2040</v>
      </c>
      <c r="AD4" s="64">
        <f t="shared" si="0"/>
        <v>2041</v>
      </c>
      <c r="AE4" s="64">
        <f t="shared" si="0"/>
        <v>2042</v>
      </c>
      <c r="AF4" s="64">
        <f t="shared" si="0"/>
        <v>2043</v>
      </c>
      <c r="AG4" s="64">
        <f t="shared" si="0"/>
        <v>2044</v>
      </c>
      <c r="AH4" s="64">
        <f t="shared" si="0"/>
        <v>2045</v>
      </c>
      <c r="AI4" s="64">
        <f t="shared" si="0"/>
        <v>2046</v>
      </c>
      <c r="AJ4" s="64">
        <f t="shared" si="0"/>
        <v>2047</v>
      </c>
      <c r="AK4" s="64">
        <f t="shared" si="0"/>
        <v>2048</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7">
        <v>0</v>
      </c>
      <c r="D8" s="287">
        <v>0</v>
      </c>
      <c r="E8" s="287">
        <v>0</v>
      </c>
      <c r="F8" s="287">
        <v>0</v>
      </c>
      <c r="G8" s="287">
        <v>0</v>
      </c>
      <c r="H8" s="287">
        <v>0</v>
      </c>
      <c r="I8" s="287">
        <v>0</v>
      </c>
      <c r="J8" s="287">
        <v>0</v>
      </c>
      <c r="K8" s="287">
        <v>0</v>
      </c>
      <c r="L8" s="287">
        <v>0</v>
      </c>
      <c r="M8" s="287">
        <v>0</v>
      </c>
      <c r="N8" s="287">
        <v>0</v>
      </c>
      <c r="O8" s="287">
        <v>0</v>
      </c>
      <c r="P8" s="287">
        <v>0</v>
      </c>
      <c r="Q8" s="287">
        <v>0</v>
      </c>
      <c r="R8" s="287">
        <v>0</v>
      </c>
      <c r="S8" s="287">
        <v>0</v>
      </c>
      <c r="T8" s="287">
        <v>0</v>
      </c>
      <c r="U8" s="287">
        <v>0</v>
      </c>
      <c r="V8" s="287">
        <v>0</v>
      </c>
      <c r="W8" s="287">
        <v>0</v>
      </c>
      <c r="X8" s="287">
        <v>0</v>
      </c>
      <c r="Y8" s="287">
        <v>0</v>
      </c>
      <c r="Z8" s="287">
        <v>0</v>
      </c>
      <c r="AA8" s="287">
        <v>0</v>
      </c>
      <c r="AB8" s="287">
        <v>0</v>
      </c>
      <c r="AC8" s="287">
        <v>0</v>
      </c>
      <c r="AD8" s="287">
        <v>0</v>
      </c>
      <c r="AE8" s="287">
        <v>0</v>
      </c>
      <c r="AF8" s="287">
        <v>0</v>
      </c>
      <c r="AG8" s="287">
        <v>0</v>
      </c>
      <c r="AH8" s="287">
        <v>0</v>
      </c>
      <c r="AI8" s="287">
        <v>0</v>
      </c>
      <c r="AJ8" s="287">
        <v>0</v>
      </c>
      <c r="AK8" s="287">
        <v>0</v>
      </c>
    </row>
    <row r="9" spans="1:37" ht="12.75">
      <c r="A9" s="81">
        <v>2</v>
      </c>
      <c r="B9" s="81">
        <v>6</v>
      </c>
      <c r="C9" s="287">
        <v>0</v>
      </c>
      <c r="D9" s="287">
        <v>60500</v>
      </c>
      <c r="E9" s="287">
        <v>0</v>
      </c>
      <c r="F9" s="287">
        <v>0</v>
      </c>
      <c r="G9" s="287">
        <v>0</v>
      </c>
      <c r="H9" s="287">
        <v>0</v>
      </c>
      <c r="I9" s="287">
        <v>0</v>
      </c>
      <c r="J9" s="287">
        <v>0</v>
      </c>
      <c r="K9" s="287">
        <v>0</v>
      </c>
      <c r="L9" s="287">
        <v>0</v>
      </c>
      <c r="M9" s="287">
        <v>0</v>
      </c>
      <c r="N9" s="287">
        <v>0</v>
      </c>
      <c r="O9" s="287">
        <v>0</v>
      </c>
      <c r="P9" s="287">
        <v>0</v>
      </c>
      <c r="Q9" s="287">
        <v>0</v>
      </c>
      <c r="R9" s="287">
        <v>0</v>
      </c>
      <c r="S9" s="287">
        <v>0</v>
      </c>
      <c r="T9" s="287">
        <v>0</v>
      </c>
      <c r="U9" s="287">
        <v>0</v>
      </c>
      <c r="V9" s="287">
        <v>0</v>
      </c>
      <c r="W9" s="287">
        <v>0</v>
      </c>
      <c r="X9" s="287">
        <v>0</v>
      </c>
      <c r="Y9" s="287">
        <v>0</v>
      </c>
      <c r="Z9" s="287">
        <v>0</v>
      </c>
      <c r="AA9" s="287">
        <v>0</v>
      </c>
      <c r="AB9" s="287">
        <v>0</v>
      </c>
      <c r="AC9" s="287">
        <v>0</v>
      </c>
      <c r="AD9" s="287">
        <v>0</v>
      </c>
      <c r="AE9" s="287">
        <v>0</v>
      </c>
      <c r="AF9" s="287">
        <v>0</v>
      </c>
      <c r="AG9" s="287">
        <v>0</v>
      </c>
      <c r="AH9" s="287">
        <v>0</v>
      </c>
      <c r="AI9" s="287">
        <v>0</v>
      </c>
      <c r="AJ9" s="287">
        <v>0</v>
      </c>
      <c r="AK9" s="287">
        <v>0</v>
      </c>
    </row>
    <row r="10" spans="1:37" ht="12.75">
      <c r="A10" s="81">
        <v>3</v>
      </c>
      <c r="B10" s="81">
        <v>12</v>
      </c>
      <c r="C10" s="287">
        <v>0</v>
      </c>
      <c r="D10" s="287">
        <v>949790.88</v>
      </c>
      <c r="E10" s="287">
        <v>0</v>
      </c>
      <c r="F10" s="287">
        <v>0</v>
      </c>
      <c r="G10" s="287">
        <v>0</v>
      </c>
      <c r="H10" s="287">
        <v>0</v>
      </c>
      <c r="I10" s="287">
        <v>0</v>
      </c>
      <c r="J10" s="287">
        <v>0</v>
      </c>
      <c r="K10" s="287">
        <v>0</v>
      </c>
      <c r="L10" s="287">
        <v>0</v>
      </c>
      <c r="M10" s="287">
        <v>0</v>
      </c>
      <c r="N10" s="287">
        <v>0</v>
      </c>
      <c r="O10" s="287">
        <v>0</v>
      </c>
      <c r="P10" s="287">
        <v>0</v>
      </c>
      <c r="Q10" s="287">
        <v>0</v>
      </c>
      <c r="R10" s="287">
        <v>49790.88</v>
      </c>
      <c r="S10" s="287">
        <v>0</v>
      </c>
      <c r="T10" s="287">
        <v>0</v>
      </c>
      <c r="U10" s="287">
        <v>0</v>
      </c>
      <c r="V10" s="287">
        <v>0</v>
      </c>
      <c r="W10" s="287">
        <v>0</v>
      </c>
      <c r="X10" s="287">
        <v>0</v>
      </c>
      <c r="Y10" s="287">
        <v>0</v>
      </c>
      <c r="Z10" s="287">
        <v>0</v>
      </c>
      <c r="AA10" s="287">
        <v>0</v>
      </c>
      <c r="AB10" s="287">
        <v>0</v>
      </c>
      <c r="AC10" s="287">
        <v>0</v>
      </c>
      <c r="AD10" s="287">
        <v>0</v>
      </c>
      <c r="AE10" s="287">
        <v>0</v>
      </c>
      <c r="AF10" s="287">
        <v>0</v>
      </c>
      <c r="AG10" s="287">
        <v>0</v>
      </c>
      <c r="AH10" s="287">
        <v>0</v>
      </c>
      <c r="AI10" s="287">
        <v>0</v>
      </c>
      <c r="AJ10" s="287">
        <v>0</v>
      </c>
      <c r="AK10" s="287">
        <v>0</v>
      </c>
    </row>
    <row r="11" spans="1:37" ht="12.75">
      <c r="A11" s="81">
        <v>4</v>
      </c>
      <c r="B11" s="81">
        <v>20</v>
      </c>
      <c r="C11" s="287">
        <v>0</v>
      </c>
      <c r="D11" s="287">
        <v>514505.74</v>
      </c>
      <c r="E11" s="287">
        <v>148708.76</v>
      </c>
      <c r="F11" s="287">
        <v>0</v>
      </c>
      <c r="G11" s="287">
        <v>0</v>
      </c>
      <c r="H11" s="287">
        <v>0</v>
      </c>
      <c r="I11" s="287">
        <v>0</v>
      </c>
      <c r="J11" s="287">
        <v>0</v>
      </c>
      <c r="K11" s="287">
        <v>0</v>
      </c>
      <c r="L11" s="287">
        <v>0</v>
      </c>
      <c r="M11" s="287">
        <v>0</v>
      </c>
      <c r="N11" s="287">
        <v>0</v>
      </c>
      <c r="O11" s="287">
        <v>0</v>
      </c>
      <c r="P11" s="287">
        <v>0</v>
      </c>
      <c r="Q11" s="287">
        <v>0</v>
      </c>
      <c r="R11" s="287">
        <v>0</v>
      </c>
      <c r="S11" s="287">
        <v>0</v>
      </c>
      <c r="T11" s="287">
        <v>0</v>
      </c>
      <c r="U11" s="287">
        <v>0</v>
      </c>
      <c r="V11" s="287">
        <v>0</v>
      </c>
      <c r="W11" s="287">
        <v>0</v>
      </c>
      <c r="X11" s="287">
        <v>0</v>
      </c>
      <c r="Y11" s="287">
        <v>0</v>
      </c>
      <c r="Z11" s="287">
        <v>0</v>
      </c>
      <c r="AA11" s="287">
        <v>0</v>
      </c>
      <c r="AB11" s="287">
        <v>0</v>
      </c>
      <c r="AC11" s="287">
        <v>0</v>
      </c>
      <c r="AD11" s="287">
        <v>0</v>
      </c>
      <c r="AE11" s="287">
        <v>0</v>
      </c>
      <c r="AF11" s="287">
        <v>0</v>
      </c>
      <c r="AG11" s="287">
        <v>0</v>
      </c>
      <c r="AH11" s="287">
        <v>0</v>
      </c>
      <c r="AI11" s="287">
        <v>0</v>
      </c>
      <c r="AJ11" s="287">
        <v>0</v>
      </c>
      <c r="AK11" s="287">
        <v>0</v>
      </c>
    </row>
    <row r="12" spans="1:37" s="82" customFormat="1" ht="12.75">
      <c r="A12" s="370" t="s">
        <v>35</v>
      </c>
      <c r="B12" s="370"/>
      <c r="C12" s="288">
        <f>SUM(C8:C11)</f>
        <v>0</v>
      </c>
      <c r="D12" s="288">
        <f aca="true" t="shared" si="1" ref="D12:AK12">SUM(D8:D11)</f>
        <v>1524796.62</v>
      </c>
      <c r="E12" s="288">
        <f t="shared" si="1"/>
        <v>148708.76</v>
      </c>
      <c r="F12" s="288">
        <f t="shared" si="1"/>
        <v>0</v>
      </c>
      <c r="G12" s="288">
        <f t="shared" si="1"/>
        <v>0</v>
      </c>
      <c r="H12" s="288">
        <f t="shared" si="1"/>
        <v>0</v>
      </c>
      <c r="I12" s="288">
        <f t="shared" si="1"/>
        <v>0</v>
      </c>
      <c r="J12" s="288">
        <f t="shared" si="1"/>
        <v>0</v>
      </c>
      <c r="K12" s="288">
        <f t="shared" si="1"/>
        <v>0</v>
      </c>
      <c r="L12" s="288">
        <f t="shared" si="1"/>
        <v>0</v>
      </c>
      <c r="M12" s="288">
        <f t="shared" si="1"/>
        <v>0</v>
      </c>
      <c r="N12" s="288">
        <f t="shared" si="1"/>
        <v>0</v>
      </c>
      <c r="O12" s="288">
        <f t="shared" si="1"/>
        <v>0</v>
      </c>
      <c r="P12" s="288">
        <f t="shared" si="1"/>
        <v>0</v>
      </c>
      <c r="Q12" s="288">
        <f t="shared" si="1"/>
        <v>0</v>
      </c>
      <c r="R12" s="288">
        <f t="shared" si="1"/>
        <v>49790.88</v>
      </c>
      <c r="S12" s="288">
        <f t="shared" si="1"/>
        <v>0</v>
      </c>
      <c r="T12" s="288">
        <f t="shared" si="1"/>
        <v>0</v>
      </c>
      <c r="U12" s="288">
        <f t="shared" si="1"/>
        <v>0</v>
      </c>
      <c r="V12" s="288">
        <f t="shared" si="1"/>
        <v>0</v>
      </c>
      <c r="W12" s="288">
        <f t="shared" si="1"/>
        <v>0</v>
      </c>
      <c r="X12" s="288">
        <f t="shared" si="1"/>
        <v>0</v>
      </c>
      <c r="Y12" s="288">
        <f t="shared" si="1"/>
        <v>0</v>
      </c>
      <c r="Z12" s="288">
        <f t="shared" si="1"/>
        <v>0</v>
      </c>
      <c r="AA12" s="288">
        <f t="shared" si="1"/>
        <v>0</v>
      </c>
      <c r="AB12" s="288">
        <f t="shared" si="1"/>
        <v>0</v>
      </c>
      <c r="AC12" s="288">
        <f t="shared" si="1"/>
        <v>0</v>
      </c>
      <c r="AD12" s="288">
        <f t="shared" si="1"/>
        <v>0</v>
      </c>
      <c r="AE12" s="288">
        <f t="shared" si="1"/>
        <v>0</v>
      </c>
      <c r="AF12" s="288">
        <f t="shared" si="1"/>
        <v>0</v>
      </c>
      <c r="AG12" s="288">
        <f t="shared" si="1"/>
        <v>0</v>
      </c>
      <c r="AH12" s="288">
        <f t="shared" si="1"/>
        <v>0</v>
      </c>
      <c r="AI12" s="288">
        <f t="shared" si="1"/>
        <v>0</v>
      </c>
      <c r="AJ12" s="288">
        <f t="shared" si="1"/>
        <v>0</v>
      </c>
      <c r="AK12" s="288">
        <f t="shared" si="1"/>
        <v>0</v>
      </c>
    </row>
    <row r="13" spans="3:37" ht="12.75">
      <c r="C13" s="83"/>
      <c r="D13" s="83"/>
      <c r="E13" s="83"/>
      <c r="F13" s="83"/>
      <c r="G13" s="83"/>
      <c r="H13" s="83"/>
      <c r="I13" s="83"/>
      <c r="J13" s="83"/>
      <c r="K13" s="83"/>
      <c r="L13" s="83"/>
      <c r="M13" s="83"/>
      <c r="N13" s="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row>
    <row r="14" spans="3:37" ht="12.75">
      <c r="C14" s="83"/>
      <c r="D14" s="83"/>
      <c r="E14" s="83"/>
      <c r="F14" s="83"/>
      <c r="G14" s="83"/>
      <c r="H14" s="83"/>
      <c r="I14" s="83"/>
      <c r="J14" s="83"/>
      <c r="K14" s="83"/>
      <c r="L14" s="83"/>
      <c r="M14" s="83"/>
      <c r="N14" s="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row>
    <row r="15" spans="1:37" ht="12.75">
      <c r="A15" s="78" t="s">
        <v>48</v>
      </c>
      <c r="C15" s="83"/>
      <c r="D15" s="83"/>
      <c r="E15" s="83"/>
      <c r="F15" s="83"/>
      <c r="G15" s="83"/>
      <c r="H15" s="83"/>
      <c r="I15" s="83"/>
      <c r="J15" s="83"/>
      <c r="K15" s="83"/>
      <c r="L15" s="83"/>
      <c r="M15" s="83"/>
      <c r="N15" s="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row>
    <row r="16" spans="1:37" s="80" customFormat="1" ht="25.5">
      <c r="A16" s="79" t="s">
        <v>31</v>
      </c>
      <c r="B16" s="79" t="s">
        <v>32</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1" t="s">
        <v>35</v>
      </c>
      <c r="B21" s="371"/>
      <c r="C21" s="290">
        <f aca="true" t="shared" si="2" ref="C21:AK21">SUM(C17:C20)</f>
        <v>0</v>
      </c>
      <c r="D21" s="290">
        <f t="shared" si="2"/>
        <v>114957.86033333333</v>
      </c>
      <c r="E21" s="290">
        <f t="shared" si="2"/>
        <v>122393.29833333334</v>
      </c>
      <c r="F21" s="290">
        <f t="shared" si="2"/>
        <v>122393.29833333334</v>
      </c>
      <c r="G21" s="290">
        <f t="shared" si="2"/>
        <v>122393.29833333334</v>
      </c>
      <c r="H21" s="290">
        <f t="shared" si="2"/>
        <v>122393.29833333334</v>
      </c>
      <c r="I21" s="290">
        <f t="shared" si="2"/>
        <v>122393.29833333334</v>
      </c>
      <c r="J21" s="290">
        <f t="shared" si="2"/>
        <v>112309.965</v>
      </c>
      <c r="K21" s="290">
        <f t="shared" si="2"/>
        <v>112309.965</v>
      </c>
      <c r="L21" s="290">
        <f t="shared" si="2"/>
        <v>112309.965</v>
      </c>
      <c r="M21" s="290">
        <f t="shared" si="2"/>
        <v>112309.965</v>
      </c>
      <c r="N21" s="290">
        <f t="shared" si="2"/>
        <v>112309.965</v>
      </c>
      <c r="O21" s="290">
        <f t="shared" si="2"/>
        <v>112309.965</v>
      </c>
      <c r="P21" s="290">
        <f t="shared" si="2"/>
        <v>33160.725</v>
      </c>
      <c r="Q21" s="290">
        <f t="shared" si="2"/>
        <v>33160.725</v>
      </c>
      <c r="R21" s="290">
        <f t="shared" si="2"/>
        <v>37309.965</v>
      </c>
      <c r="S21" s="290">
        <f t="shared" si="2"/>
        <v>37309.965</v>
      </c>
      <c r="T21" s="290">
        <f t="shared" si="2"/>
        <v>37309.965</v>
      </c>
      <c r="U21" s="290">
        <f t="shared" si="2"/>
        <v>37309.965</v>
      </c>
      <c r="V21" s="290">
        <f t="shared" si="2"/>
        <v>37309.965</v>
      </c>
      <c r="W21" s="290">
        <f t="shared" si="2"/>
        <v>37309.965</v>
      </c>
      <c r="X21" s="290">
        <f t="shared" si="2"/>
        <v>11584.678</v>
      </c>
      <c r="Y21" s="290">
        <f t="shared" si="2"/>
        <v>4149.24</v>
      </c>
      <c r="Z21" s="290">
        <f t="shared" si="2"/>
        <v>4149.24</v>
      </c>
      <c r="AA21" s="290">
        <f t="shared" si="2"/>
        <v>4149.24</v>
      </c>
      <c r="AB21" s="290">
        <f t="shared" si="2"/>
        <v>4149.24</v>
      </c>
      <c r="AC21" s="290">
        <f t="shared" si="2"/>
        <v>4149.24</v>
      </c>
      <c r="AD21" s="290">
        <f t="shared" si="2"/>
        <v>0</v>
      </c>
      <c r="AE21" s="290">
        <f t="shared" si="2"/>
        <v>0</v>
      </c>
      <c r="AF21" s="290">
        <f t="shared" si="2"/>
        <v>0</v>
      </c>
      <c r="AG21" s="290">
        <f t="shared" si="2"/>
        <v>0</v>
      </c>
      <c r="AH21" s="290">
        <f t="shared" si="2"/>
        <v>0</v>
      </c>
      <c r="AI21" s="290">
        <f t="shared" si="2"/>
        <v>0</v>
      </c>
      <c r="AJ21" s="290">
        <f t="shared" si="2"/>
        <v>0</v>
      </c>
      <c r="AK21" s="290">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ab</cp:lastModifiedBy>
  <cp:lastPrinted>2007-12-01T21:15:16Z</cp:lastPrinted>
  <dcterms:created xsi:type="dcterms:W3CDTF">1997-01-24T11:07:25Z</dcterms:created>
  <dcterms:modified xsi:type="dcterms:W3CDTF">2014-01-22T11:48:47Z</dcterms:modified>
  <cp:category/>
  <cp:version/>
  <cp:contentType/>
  <cp:contentStatus/>
</cp:coreProperties>
</file>