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Inštrukcie" sheetId="1" r:id="rId1"/>
    <sheet name="Typ žiadateľa" sheetId="2" r:id="rId2"/>
    <sheet name="Peňažné toky projektu" sheetId="3" r:id="rId3"/>
    <sheet name="Investičné výdavky" sheetId="4" r:id="rId4"/>
    <sheet name="Výdavky na prevádzku" sheetId="5" r:id="rId5"/>
    <sheet name="Príjmy z prevádzky" sheetId="6" r:id="rId6"/>
    <sheet name="Úver" sheetId="7" r:id="rId7"/>
    <sheet name="Odpisy - daňové" sheetId="8" r:id="rId8"/>
    <sheet name="Sociálna únosnosť" sheetId="9" r:id="rId9"/>
    <sheet name="Kontrolný list" sheetId="10" r:id="rId10"/>
    <sheet name="POM_Odpisy linearne" sheetId="11" state="hidden" r:id="rId11"/>
    <sheet name="POM_Odpisy zrychlene" sheetId="12" state="hidden" r:id="rId12"/>
  </sheets>
  <definedNames>
    <definedName name="_ftn1" localSheetId="3">'Investičné výdavky'!#REF!</definedName>
    <definedName name="_ftn2" localSheetId="3">'Investičné výdavky'!#REF!</definedName>
    <definedName name="_ftn3" localSheetId="3">'Investičné výdavky'!$A$37</definedName>
    <definedName name="_ftnref1" localSheetId="3">'Investičné výdavky'!#REF!</definedName>
    <definedName name="_ftnref2" localSheetId="3">'Investičné výdavky'!#REF!</definedName>
    <definedName name="_ftnref3" localSheetId="3">'Investičné výdavky'!$A$35</definedName>
    <definedName name="_xlfn.AVERAGEIF" hidden="1">#NAME?</definedName>
    <definedName name="OLE_LINK1" localSheetId="3">'Investičné výdavky'!$A$26</definedName>
    <definedName name="Začiarkov6" localSheetId="3">'Investičné výdavky'!#REF!</definedName>
  </definedNames>
  <calcPr fullCalcOnLoad="1"/>
</workbook>
</file>

<file path=xl/comments10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  <comment ref="B52" authorId="0">
      <text>
        <r>
          <rPr>
            <sz val="8"/>
            <rFont val="Tahoma"/>
            <family val="2"/>
          </rPr>
          <t xml:space="preserve">Keďže žiadateľ financuje z úveru len časť celkového spolufinancovania, je možné toto hlásenie kontroly ignorovať.
</t>
        </r>
      </text>
    </comment>
  </commentList>
</comments>
</file>

<file path=xl/comments12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C8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24" authorId="0">
      <text>
        <r>
          <rPr>
            <sz val="8"/>
            <rFont val="Tahoma"/>
            <family val="2"/>
          </rPr>
          <t xml:space="preserve">Žiadateľom je v tomto prípade obec
</t>
        </r>
      </text>
    </comment>
    <comment ref="O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 + daň z príjmu)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 + daň z príjmu)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G56" authorId="0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  <comment ref="AG28" authorId="0">
      <text>
        <r>
          <rPr>
            <sz val="8"/>
            <rFont val="Tahoma"/>
            <family val="2"/>
          </rPr>
          <t xml:space="preserve">Toto je posledný rok časového horizontu finančnej analýzy, v ďalších rokoch preto neboli už údaje uvádzané
</t>
        </r>
      </text>
    </comment>
    <comment ref="C24" authorId="0">
      <text>
        <r>
          <rPr>
            <sz val="8"/>
            <rFont val="Tahoma"/>
            <family val="2"/>
          </rPr>
          <t>Intenzita pomoci vyjadruje podiel nenávratného finančného príspevku na celkových oprávnených výdavkoch</t>
        </r>
      </text>
    </comment>
    <comment ref="E46" authorId="0">
      <text>
        <r>
          <rPr>
            <sz val="8"/>
            <rFont val="Tahoma"/>
            <family val="2"/>
          </rPr>
          <t>Projekt vytvára v prvých dvoch rokoch prevádzky záporné akumulované peňažné toky. Tento stav je spôsobený tým, že spočiatku sa na novú stokovú sieť pripojí len časť obyvateľov. V textovej časti je potrebné vysvetliť, ako bude v týchto rokoch zabezpečené chýbajúce spolufinancovanie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26" authorId="0">
      <text>
        <r>
          <rPr>
            <sz val="8"/>
            <rFont val="Tahoma"/>
            <family val="2"/>
          </rPr>
          <t xml:space="preserve">Na základe tejto tabuľky môžete vyplniť tabuľku č. 14 vo formulári žiadosti o NFP
</t>
        </r>
      </text>
    </comment>
    <comment ref="A1" authorId="0">
      <text>
        <r>
          <rPr>
            <sz val="8"/>
            <rFont val="Tahoma"/>
            <family val="2"/>
          </rPr>
          <t>Na každom liste si skontrolujte, či sa údaje uvádzajú v tis. Sk alebo v Sk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0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</text>
    </comment>
    <comment ref="E11" authorId="0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D10" authorId="0">
      <text>
        <r>
          <rPr>
            <sz val="8"/>
            <rFont val="Tahoma"/>
            <family val="2"/>
          </rPr>
          <t>Majetok v hodnote 1,5 mil. Sk tvoria mechanické časti ČOV. Všimnite si, že rovnaká suma je zadaná na liste Peňažné toky projektu ako Obnova zariadenia s kratšou dobou životnosti v roku 2025.
V tomto roku sa totiž ráta s potrebou obnovy týchto mechanických častí.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A7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D9" authorId="0">
      <text>
        <r>
          <rPr>
            <sz val="8"/>
            <rFont val="Tahoma"/>
            <family val="2"/>
          </rPr>
          <t xml:space="preserve">V tomto prípade výdavky domácností na stočné prevyšujú odporúčanú hranicu. Bude preto potrebné zdôvodniť, či bude takáto výška stočného akceptovateľná pre obyvateľstvo
</t>
        </r>
      </text>
    </comment>
    <comment ref="B7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sharedStrings.xml><?xml version="1.0" encoding="utf-8"?>
<sst xmlns="http://schemas.openxmlformats.org/spreadsheetml/2006/main" count="307" uniqueCount="227">
  <si>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</si>
  <si>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</si>
  <si>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</si>
  <si>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</si>
  <si>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</si>
  <si>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</si>
  <si>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</si>
  <si>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</si>
  <si>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</si>
  <si>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</si>
  <si>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</si>
  <si>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</si>
  <si>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</si>
  <si>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</si>
  <si>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</si>
  <si>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</si>
  <si>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</si>
  <si>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</si>
  <si>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</si>
  <si>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</si>
  <si>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</si>
  <si>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</si>
  <si>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</si>
  <si>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</si>
  <si>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</si>
  <si>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</si>
  <si>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</si>
  <si>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</si>
  <si>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</si>
  <si>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</si>
  <si>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</si>
  <si>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</si>
  <si>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</si>
  <si>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</si>
  <si>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</si>
  <si>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</si>
  <si>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</si>
  <si>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</si>
  <si>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</si>
  <si>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</si>
  <si>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</si>
  <si>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</si>
  <si>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</si>
  <si>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</si>
  <si>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</si>
  <si>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</si>
  <si>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</si>
  <si>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</si>
  <si>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</si>
  <si>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</si>
  <si>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 xml:space="preserve">Príjmy z prevádzky 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</si>
  <si>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</si>
  <si>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</si>
  <si>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</si>
  <si>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</si>
  <si>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</si>
  <si>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</si>
  <si>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</si>
  <si>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</si>
  <si>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</si>
  <si>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</si>
  <si>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</si>
  <si>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</si>
  <si>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</si>
  <si>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</si>
  <si>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</si>
  <si>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</si>
  <si>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</si>
  <si>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</si>
  <si>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</si>
  <si>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</si>
  <si>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</si>
  <si>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</si>
  <si>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</si>
  <si>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</si>
  <si>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</si>
  <si>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</si>
  <si>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</si>
  <si>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</si>
  <si>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</si>
  <si>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</si>
  <si>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</si>
  <si>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projekt 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</si>
  <si>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</si>
  <si>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</si>
  <si>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</si>
  <si>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</si>
  <si>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</si>
  <si>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</si>
  <si>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Nespadá pod schému štátnej pomoci</t>
  </si>
  <si>
    <t>Spadá pod schému štátnej pomoci</t>
  </si>
  <si>
    <t>Zvoľte typ žiadateľa</t>
  </si>
  <si>
    <t>Kód typu žiadateľa</t>
  </si>
  <si>
    <t>%</t>
  </si>
  <si>
    <t>Výška nenávratného finančného príspevku celkom (EÚ+ŠR)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</si>
  <si>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</si>
  <si>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</si>
  <si>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</si>
  <si>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</si>
  <si>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</si>
  <si>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</si>
  <si>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</si>
  <si>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</si>
  <si>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</si>
  <si>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</si>
  <si>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</si>
  <si>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</si>
  <si>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</si>
  <si>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</si>
  <si>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</si>
  <si>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</si>
  <si>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</si>
  <si>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</si>
  <si>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</si>
  <si>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</si>
  <si>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</si>
  <si>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</si>
  <si>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</si>
  <si>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</si>
  <si>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</si>
  <si>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</si>
  <si>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</si>
  <si>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</si>
  <si>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</si>
  <si>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</si>
  <si>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</si>
  <si>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</si>
  <si>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</si>
  <si>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</si>
  <si>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</si>
  <si>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</si>
  <si>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</si>
  <si>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</si>
  <si>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</si>
  <si>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</si>
  <si>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</si>
  <si>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</si>
  <si>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</si>
  <si>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</si>
  <si>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</si>
  <si>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</si>
  <si>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</si>
  <si>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</si>
  <si>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</si>
  <si>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</si>
  <si>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</si>
  <si>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</si>
  <si>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</si>
  <si>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</si>
  <si>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</si>
  <si>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</si>
  <si>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</si>
  <si>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</si>
  <si>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</si>
  <si>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</si>
  <si>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</si>
  <si>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</si>
  <si>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</si>
  <si>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</si>
  <si>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</si>
  <si>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</si>
  <si>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</si>
  <si>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</si>
  <si>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</si>
  <si>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</si>
  <si>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</si>
  <si>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</si>
  <si>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</si>
  <si>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</si>
  <si>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</si>
  <si>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</si>
  <si>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</si>
  <si>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</si>
  <si>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</si>
  <si>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</si>
  <si>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</si>
  <si>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</si>
  <si>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</si>
  <si>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</si>
  <si>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</si>
  <si>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</si>
  <si>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</si>
  <si>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</si>
  <si>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</si>
  <si>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</si>
  <si>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</si>
  <si>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</si>
  <si>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Vzorová obec Potočné</t>
  </si>
  <si>
    <t>Výstavba novej kanalizácia a čistiarne odpadových vôd - vzorový projekt</t>
  </si>
  <si>
    <t>Počet obyvateľov</t>
  </si>
  <si>
    <t>Percento nárastu obyvateľstva</t>
  </si>
  <si>
    <t>Obyvatelia napojení a kanalizáciu</t>
  </si>
  <si>
    <t>Spotreba vody na obyvateľa</t>
  </si>
  <si>
    <t>litre/deň</t>
  </si>
  <si>
    <t>m3/rok</t>
  </si>
  <si>
    <t>Tržby stočné obyvatelia</t>
  </si>
  <si>
    <t>Tržby stočné ostatní</t>
  </si>
  <si>
    <t>Stočné za m3 (bez DPH)</t>
  </si>
  <si>
    <t>Spotreba vody obyvatelia v m3</t>
  </si>
  <si>
    <t>Spotreba vody ostatné subjekty m3</t>
  </si>
  <si>
    <t>% napojených na kanalizáciu</t>
  </si>
  <si>
    <t>KANALIZÁCIA</t>
  </si>
  <si>
    <t>Deratizácia</t>
  </si>
  <si>
    <t>Opravy porúch</t>
  </si>
  <si>
    <t>Kanalizácia spolu</t>
  </si>
  <si>
    <t>ČOV</t>
  </si>
  <si>
    <t>Údržba šachiet</t>
  </si>
  <si>
    <t>Iná bežná údržba</t>
  </si>
  <si>
    <t>flokulant</t>
  </si>
  <si>
    <t>Počet EO</t>
  </si>
  <si>
    <t>kWh</t>
  </si>
  <si>
    <t>Cena za kWh</t>
  </si>
  <si>
    <t>elektrická energia</t>
  </si>
  <si>
    <t>potreba na EO / ročne</t>
  </si>
  <si>
    <t>kilogramy</t>
  </si>
  <si>
    <t>Cena za kg</t>
  </si>
  <si>
    <t>produkcia v kg na EO / ročne</t>
  </si>
  <si>
    <t>kal 20%ný</t>
  </si>
  <si>
    <t>tony</t>
  </si>
  <si>
    <t>SPOLOČNÉ PRE KANALIZÁCIU AJ ČOV</t>
  </si>
  <si>
    <t>ČOV spolu</t>
  </si>
  <si>
    <t>Cena za likviáciu tony</t>
  </si>
  <si>
    <t>Spoločné výdavky spolu</t>
  </si>
  <si>
    <t>Priemerný počet členov domácnosti</t>
  </si>
  <si>
    <t>Spotreba vody v domácnosti v m3</t>
  </si>
  <si>
    <t>Finančná analýza projektu -  vzorová tabuľková časť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</si>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</sst>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82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1" fillId="19" borderId="0" xfId="47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10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9" fontId="0" fillId="0" borderId="0" xfId="47" applyFont="1" applyBorder="1" applyAlignment="1" applyProtection="1">
      <alignment horizontal="center"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19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9" fontId="0" fillId="24" borderId="0" xfId="0" applyNumberFormat="1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185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185" fontId="0" fillId="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85" fontId="0" fillId="2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3" fontId="4" fillId="17" borderId="0" xfId="0" applyNumberFormat="1" applyFont="1" applyFill="1" applyAlignment="1" applyProtection="1">
      <alignment/>
      <protection locked="0"/>
    </xf>
    <xf numFmtId="0" fontId="0" fillId="17" borderId="0" xfId="0" applyFill="1" applyAlignment="1">
      <alignment/>
    </xf>
    <xf numFmtId="3" fontId="4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left"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0" fontId="0" fillId="24" borderId="0" xfId="0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0" xfId="0" applyFill="1" applyAlignment="1">
      <alignment vertical="center"/>
    </xf>
    <xf numFmtId="173" fontId="1" fillId="19" borderId="0" xfId="47" applyNumberFormat="1" applyFont="1" applyFill="1" applyAlignment="1" applyProtection="1">
      <alignment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0" fontId="0" fillId="24" borderId="24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173" fontId="9" fillId="4" borderId="25" xfId="47" applyNumberFormat="1" applyFont="1" applyFill="1" applyBorder="1" applyAlignment="1" applyProtection="1">
      <alignment horizontal="center"/>
      <protection/>
    </xf>
    <xf numFmtId="173" fontId="9" fillId="4" borderId="26" xfId="47" applyNumberFormat="1" applyFont="1" applyFill="1" applyBorder="1" applyAlignment="1" applyProtection="1">
      <alignment horizontal="center"/>
      <protection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0" fontId="8" fillId="26" borderId="25" xfId="0" applyFont="1" applyFill="1" applyBorder="1" applyAlignment="1" applyProtection="1">
      <alignment horizontal="left" vertical="top" wrapText="1"/>
      <protection/>
    </xf>
    <xf numFmtId="0" fontId="8" fillId="26" borderId="27" xfId="0" applyFont="1" applyFill="1" applyBorder="1" applyAlignment="1" applyProtection="1">
      <alignment horizontal="left" vertical="top" wrapText="1"/>
      <protection/>
    </xf>
    <xf numFmtId="0" fontId="8" fillId="26" borderId="26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 vertical="top" wrapText="1"/>
      <protection/>
    </xf>
    <xf numFmtId="0" fontId="0" fillId="4" borderId="29" xfId="0" applyFill="1" applyBorder="1" applyAlignment="1" applyProtection="1">
      <alignment horizontal="center" vertical="top" wrapText="1"/>
      <protection/>
    </xf>
    <xf numFmtId="0" fontId="0" fillId="4" borderId="30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  <xf numFmtId="0" fontId="0" fillId="4" borderId="33" xfId="0" applyFill="1" applyBorder="1" applyAlignment="1" applyProtection="1">
      <alignment vertical="top" wrapText="1"/>
      <protection/>
    </xf>
    <xf numFmtId="0" fontId="0" fillId="4" borderId="34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5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O3" sqref="O3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C1" s="131" t="s">
        <v>225</v>
      </c>
    </row>
    <row r="2" ht="21" thickBot="1">
      <c r="D2" s="131"/>
    </row>
    <row r="3" spans="2:12" s="245" customFormat="1" ht="75.75" customHeight="1" thickBot="1" thickTop="1">
      <c r="B3" s="243"/>
      <c r="C3" s="248" t="s">
        <v>226</v>
      </c>
      <c r="D3" s="248"/>
      <c r="E3" s="248"/>
      <c r="F3" s="248"/>
      <c r="G3" s="248"/>
      <c r="H3" s="248"/>
      <c r="I3" s="248"/>
      <c r="J3" s="248"/>
      <c r="K3" s="248"/>
      <c r="L3" s="244"/>
    </row>
    <row r="4" ht="21" thickTop="1">
      <c r="D4" s="131"/>
    </row>
    <row r="5" ht="13.5" thickBot="1"/>
    <row r="6" spans="2:12" s="14" customFormat="1" ht="13.5" thickTop="1">
      <c r="B6" s="142"/>
      <c r="C6" s="143"/>
      <c r="D6" s="143"/>
      <c r="E6" s="143"/>
      <c r="F6" s="144"/>
      <c r="G6" s="143"/>
      <c r="H6" s="143"/>
      <c r="I6" s="143"/>
      <c r="J6" s="143"/>
      <c r="K6" s="143"/>
      <c r="L6" s="145"/>
    </row>
    <row r="7" spans="2:12" s="15" customFormat="1" ht="27" customHeight="1">
      <c r="B7" s="146"/>
      <c r="C7" s="250" t="s">
        <v>62</v>
      </c>
      <c r="D7" s="250"/>
      <c r="E7" s="250"/>
      <c r="F7" s="250"/>
      <c r="G7" s="250"/>
      <c r="H7" s="250"/>
      <c r="I7" s="250"/>
      <c r="J7" s="250"/>
      <c r="K7" s="250"/>
      <c r="L7" s="147"/>
    </row>
    <row r="8" spans="2:12" s="15" customFormat="1" ht="12.75" customHeight="1">
      <c r="B8" s="146"/>
      <c r="C8" s="53"/>
      <c r="D8" s="53"/>
      <c r="E8" s="53"/>
      <c r="F8" s="53"/>
      <c r="G8" s="53"/>
      <c r="H8" s="53"/>
      <c r="I8" s="53"/>
      <c r="J8" s="53"/>
      <c r="K8" s="53"/>
      <c r="L8" s="147"/>
    </row>
    <row r="9" spans="2:12" s="54" customFormat="1" ht="12.75">
      <c r="B9" s="148"/>
      <c r="C9" s="251" t="s">
        <v>63</v>
      </c>
      <c r="D9" s="251"/>
      <c r="E9" s="251"/>
      <c r="F9" s="251"/>
      <c r="G9" s="251"/>
      <c r="H9" s="251"/>
      <c r="I9" s="251"/>
      <c r="J9" s="251"/>
      <c r="K9" s="251"/>
      <c r="L9" s="149"/>
    </row>
    <row r="10" spans="2:12" s="14" customFormat="1" ht="12.75">
      <c r="B10" s="150"/>
      <c r="C10" s="12"/>
      <c r="D10" s="12"/>
      <c r="E10" s="12"/>
      <c r="F10" s="13"/>
      <c r="G10" s="12"/>
      <c r="H10" s="12"/>
      <c r="I10" s="12"/>
      <c r="J10" s="12"/>
      <c r="K10" s="12"/>
      <c r="L10" s="151"/>
    </row>
    <row r="11" spans="2:12" s="14" customFormat="1" ht="52.5" customHeight="1">
      <c r="B11" s="150"/>
      <c r="C11" s="250" t="s">
        <v>61</v>
      </c>
      <c r="D11" s="250"/>
      <c r="E11" s="250"/>
      <c r="F11" s="250"/>
      <c r="G11" s="250"/>
      <c r="H11" s="250"/>
      <c r="I11" s="250"/>
      <c r="J11" s="250"/>
      <c r="K11" s="250"/>
      <c r="L11" s="151"/>
    </row>
    <row r="12" spans="2:12" s="14" customFormat="1" ht="12.75">
      <c r="B12" s="150"/>
      <c r="C12" s="12"/>
      <c r="D12" s="12"/>
      <c r="E12" s="12"/>
      <c r="F12" s="13"/>
      <c r="G12" s="12"/>
      <c r="H12" s="12"/>
      <c r="I12" s="12"/>
      <c r="J12" s="12"/>
      <c r="K12" s="12"/>
      <c r="L12" s="151"/>
    </row>
    <row r="13" spans="2:12" s="14" customFormat="1" ht="65.25" customHeight="1">
      <c r="B13" s="150"/>
      <c r="C13" s="250" t="s">
        <v>104</v>
      </c>
      <c r="D13" s="250"/>
      <c r="E13" s="250"/>
      <c r="F13" s="250"/>
      <c r="G13" s="250"/>
      <c r="H13" s="250"/>
      <c r="I13" s="250"/>
      <c r="J13" s="250"/>
      <c r="K13" s="250"/>
      <c r="L13" s="151"/>
    </row>
    <row r="14" spans="2:12" s="14" customFormat="1" ht="12.75">
      <c r="B14" s="150"/>
      <c r="C14" s="53"/>
      <c r="D14" s="53"/>
      <c r="E14" s="53"/>
      <c r="F14" s="53"/>
      <c r="G14" s="53"/>
      <c r="H14" s="53"/>
      <c r="I14" s="53"/>
      <c r="J14" s="53"/>
      <c r="K14" s="53"/>
      <c r="L14" s="151"/>
    </row>
    <row r="15" spans="2:12" s="14" customFormat="1" ht="39" customHeight="1">
      <c r="B15" s="150"/>
      <c r="C15" s="250" t="s">
        <v>133</v>
      </c>
      <c r="D15" s="250"/>
      <c r="E15" s="250"/>
      <c r="F15" s="250"/>
      <c r="G15" s="250"/>
      <c r="H15" s="250"/>
      <c r="I15" s="250"/>
      <c r="J15" s="250"/>
      <c r="K15" s="250"/>
      <c r="L15" s="151"/>
    </row>
    <row r="16" spans="2:12" s="16" customFormat="1" ht="13.5" thickBot="1">
      <c r="B16" s="152"/>
      <c r="C16" s="249"/>
      <c r="D16" s="249"/>
      <c r="E16" s="249"/>
      <c r="F16" s="249"/>
      <c r="G16" s="249"/>
      <c r="H16" s="249"/>
      <c r="I16" s="249"/>
      <c r="J16" s="249"/>
      <c r="K16" s="249"/>
      <c r="L16" s="153"/>
    </row>
    <row r="17" ht="13.5" thickTop="1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B51" sqref="B51:M51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7" customFormat="1" ht="12.75" hidden="1">
      <c r="B1" s="196" t="s">
        <v>174</v>
      </c>
    </row>
    <row r="2" s="197" customFormat="1" ht="12.75" hidden="1"/>
    <row r="3" spans="2:10" s="197" customFormat="1" ht="12.75" hidden="1">
      <c r="B3" s="198" t="s">
        <v>158</v>
      </c>
      <c r="C3" s="198" t="s">
        <v>165</v>
      </c>
      <c r="J3" s="197" t="s">
        <v>167</v>
      </c>
    </row>
    <row r="4" spans="2:12" s="197" customFormat="1" ht="12.75" hidden="1">
      <c r="B4" s="199">
        <f>SUM('Peňažné toky projektu'!B56:AJ56)</f>
        <v>150</v>
      </c>
      <c r="C4" s="198" t="b">
        <f>AND(B4&lt;&gt;0)</f>
        <v>1</v>
      </c>
      <c r="J4" s="198" t="b">
        <f>AND(COUNTIF(F20:AK20,"&lt;0")&lt;=0)</f>
        <v>1</v>
      </c>
      <c r="L4" s="197" t="s">
        <v>166</v>
      </c>
    </row>
    <row r="5" spans="2:3" s="197" customFormat="1" ht="12.75" hidden="1">
      <c r="B5" s="198"/>
      <c r="C5" s="198"/>
    </row>
    <row r="6" spans="2:10" s="197" customFormat="1" ht="12.75" hidden="1">
      <c r="B6" s="198" t="s">
        <v>143</v>
      </c>
      <c r="C6" s="198" t="s">
        <v>163</v>
      </c>
      <c r="J6" s="197" t="s">
        <v>169</v>
      </c>
    </row>
    <row r="7" spans="2:10" s="197" customFormat="1" ht="12.75" hidden="1">
      <c r="B7" s="199">
        <f>SUM(Úver!B8:AJ8)</f>
        <v>2000</v>
      </c>
      <c r="C7" s="198" t="b">
        <f>OR(B7&gt;0,B10&gt;0)</f>
        <v>1</v>
      </c>
      <c r="J7" s="198" t="b">
        <f>AND(COUNTIF(C24:AK24,"&lt;0")&lt;=0)</f>
        <v>0</v>
      </c>
    </row>
    <row r="8" spans="2:3" s="197" customFormat="1" ht="12.75" hidden="1">
      <c r="B8" s="198"/>
      <c r="C8" s="198"/>
    </row>
    <row r="9" spans="2:3" s="197" customFormat="1" ht="12.75" hidden="1">
      <c r="B9" s="198" t="s">
        <v>159</v>
      </c>
      <c r="C9" s="198" t="s">
        <v>162</v>
      </c>
    </row>
    <row r="10" spans="2:3" s="197" customFormat="1" ht="12.75" hidden="1">
      <c r="B10" s="199">
        <f>SUM(Úver!B11:AJ11)</f>
        <v>2000</v>
      </c>
      <c r="C10" s="198" t="b">
        <f>AND(B7=B10)</f>
        <v>1</v>
      </c>
    </row>
    <row r="11" spans="2:3" s="197" customFormat="1" ht="12.75" hidden="1">
      <c r="B11" s="198"/>
      <c r="C11" s="198"/>
    </row>
    <row r="12" spans="2:6" s="197" customFormat="1" ht="12.75" hidden="1">
      <c r="B12" s="200" t="s">
        <v>160</v>
      </c>
      <c r="C12" s="200" t="s">
        <v>164</v>
      </c>
      <c r="D12" s="200"/>
      <c r="E12" s="200"/>
      <c r="F12" s="200"/>
    </row>
    <row r="13" spans="2:6" s="197" customFormat="1" ht="12.75" hidden="1">
      <c r="B13" s="215">
        <f>'Investičné výdavky'!D32/1000</f>
        <v>7614.757716229687</v>
      </c>
      <c r="C13" s="200" t="b">
        <f>AND(B7=B13)</f>
        <v>0</v>
      </c>
      <c r="D13" s="201"/>
      <c r="E13" s="201"/>
      <c r="F13" s="201"/>
    </row>
    <row r="14" s="197" customFormat="1" ht="12.75" hidden="1"/>
    <row r="15" s="197" customFormat="1" ht="12.75" hidden="1"/>
    <row r="16" spans="2:37" s="197" customFormat="1" ht="12.75" hidden="1">
      <c r="B16" s="197" t="s">
        <v>168</v>
      </c>
      <c r="C16" s="202">
        <f>'Peňažné toky projektu'!$B$28</f>
        <v>2010</v>
      </c>
      <c r="D16" s="202">
        <f>C16+1</f>
        <v>2011</v>
      </c>
      <c r="E16" s="202">
        <f aca="true" t="shared" si="0" ref="E16:AK16">D16+1</f>
        <v>2012</v>
      </c>
      <c r="F16" s="202">
        <f t="shared" si="0"/>
        <v>2013</v>
      </c>
      <c r="G16" s="202">
        <f t="shared" si="0"/>
        <v>2014</v>
      </c>
      <c r="H16" s="202">
        <f t="shared" si="0"/>
        <v>2015</v>
      </c>
      <c r="I16" s="202">
        <f t="shared" si="0"/>
        <v>2016</v>
      </c>
      <c r="J16" s="202">
        <f t="shared" si="0"/>
        <v>2017</v>
      </c>
      <c r="K16" s="202">
        <f t="shared" si="0"/>
        <v>2018</v>
      </c>
      <c r="L16" s="202">
        <f t="shared" si="0"/>
        <v>2019</v>
      </c>
      <c r="M16" s="202">
        <f t="shared" si="0"/>
        <v>2020</v>
      </c>
      <c r="N16" s="202">
        <f t="shared" si="0"/>
        <v>2021</v>
      </c>
      <c r="O16" s="202">
        <f t="shared" si="0"/>
        <v>2022</v>
      </c>
      <c r="P16" s="202">
        <f t="shared" si="0"/>
        <v>2023</v>
      </c>
      <c r="Q16" s="202">
        <f t="shared" si="0"/>
        <v>2024</v>
      </c>
      <c r="R16" s="202">
        <f t="shared" si="0"/>
        <v>2025</v>
      </c>
      <c r="S16" s="202">
        <f t="shared" si="0"/>
        <v>2026</v>
      </c>
      <c r="T16" s="202">
        <f t="shared" si="0"/>
        <v>2027</v>
      </c>
      <c r="U16" s="202">
        <f t="shared" si="0"/>
        <v>2028</v>
      </c>
      <c r="V16" s="202">
        <f t="shared" si="0"/>
        <v>2029</v>
      </c>
      <c r="W16" s="202">
        <f t="shared" si="0"/>
        <v>2030</v>
      </c>
      <c r="X16" s="202">
        <f t="shared" si="0"/>
        <v>2031</v>
      </c>
      <c r="Y16" s="202">
        <f t="shared" si="0"/>
        <v>2032</v>
      </c>
      <c r="Z16" s="202">
        <f t="shared" si="0"/>
        <v>2033</v>
      </c>
      <c r="AA16" s="202">
        <f t="shared" si="0"/>
        <v>2034</v>
      </c>
      <c r="AB16" s="202">
        <f t="shared" si="0"/>
        <v>2035</v>
      </c>
      <c r="AC16" s="202">
        <f t="shared" si="0"/>
        <v>2036</v>
      </c>
      <c r="AD16" s="202">
        <f t="shared" si="0"/>
        <v>2037</v>
      </c>
      <c r="AE16" s="202">
        <f t="shared" si="0"/>
        <v>2038</v>
      </c>
      <c r="AF16" s="202">
        <f t="shared" si="0"/>
        <v>2039</v>
      </c>
      <c r="AG16" s="202">
        <f t="shared" si="0"/>
        <v>2040</v>
      </c>
      <c r="AH16" s="202">
        <f t="shared" si="0"/>
        <v>2041</v>
      </c>
      <c r="AI16" s="202">
        <f t="shared" si="0"/>
        <v>2042</v>
      </c>
      <c r="AJ16" s="202">
        <f t="shared" si="0"/>
        <v>2043</v>
      </c>
      <c r="AK16" s="202">
        <f t="shared" si="0"/>
        <v>2044</v>
      </c>
    </row>
    <row r="17" spans="2:37" s="197" customFormat="1" ht="12.75" hidden="1">
      <c r="B17" s="203" t="s">
        <v>106</v>
      </c>
      <c r="C17" s="204">
        <f>'Peňažné toky projektu'!B32</f>
        <v>0</v>
      </c>
      <c r="D17" s="204">
        <f>'Peňažné toky projektu'!C32</f>
        <v>0</v>
      </c>
      <c r="E17" s="204">
        <f>'Peňažné toky projektu'!D32</f>
        <v>477.042431049</v>
      </c>
      <c r="F17" s="204">
        <f>'Peňažné toky projektu'!E32</f>
        <v>909.139540994784</v>
      </c>
      <c r="G17" s="204">
        <f>'Peňažné toky projektu'!F32</f>
        <v>947.5184403235628</v>
      </c>
      <c r="H17" s="204">
        <f>'Peňažné toky projektu'!G32</f>
        <v>974.6073413502153</v>
      </c>
      <c r="I17" s="204">
        <f>'Peňažné toky projektu'!H32</f>
        <v>978.2987707156161</v>
      </c>
      <c r="J17" s="204">
        <f>'Peňažné toky projektu'!I32</f>
        <v>979.2253194863316</v>
      </c>
      <c r="K17" s="204">
        <f>'Peňažné toky projektu'!J32</f>
        <v>979.2253194863316</v>
      </c>
      <c r="L17" s="204">
        <f>'Peňažné toky projektu'!K32</f>
        <v>979.2253194863316</v>
      </c>
      <c r="M17" s="204">
        <f>'Peňažné toky projektu'!L32</f>
        <v>979.2253194863316</v>
      </c>
      <c r="N17" s="204">
        <f>'Peňažné toky projektu'!M32</f>
        <v>979.2253194863316</v>
      </c>
      <c r="O17" s="204">
        <f>'Peňažné toky projektu'!N32</f>
        <v>979.2253194863316</v>
      </c>
      <c r="P17" s="204">
        <f>'Peňažné toky projektu'!O32</f>
        <v>979.2253194863316</v>
      </c>
      <c r="Q17" s="204">
        <f>'Peňažné toky projektu'!P32</f>
        <v>979.2253194863316</v>
      </c>
      <c r="R17" s="204">
        <f>'Peňažné toky projektu'!Q32</f>
        <v>979.2253194863316</v>
      </c>
      <c r="S17" s="204">
        <f>'Peňažné toky projektu'!R32</f>
        <v>979.2253194863316</v>
      </c>
      <c r="T17" s="204">
        <f>'Peňažné toky projektu'!S32</f>
        <v>979.2253194863316</v>
      </c>
      <c r="U17" s="204">
        <f>'Peňažné toky projektu'!T32</f>
        <v>979.2253194863316</v>
      </c>
      <c r="V17" s="204">
        <f>'Peňažné toky projektu'!U32</f>
        <v>979.2253194863316</v>
      </c>
      <c r="W17" s="204">
        <f>'Peňažné toky projektu'!V32</f>
        <v>979.2253194863316</v>
      </c>
      <c r="X17" s="204">
        <f>'Peňažné toky projektu'!W32</f>
        <v>979.2253194863316</v>
      </c>
      <c r="Y17" s="204">
        <f>'Peňažné toky projektu'!X32</f>
        <v>979.2253194863316</v>
      </c>
      <c r="Z17" s="204">
        <f>'Peňažné toky projektu'!Y32</f>
        <v>979.2253194863316</v>
      </c>
      <c r="AA17" s="204">
        <f>'Peňažné toky projektu'!Z32</f>
        <v>979.2253194863316</v>
      </c>
      <c r="AB17" s="204">
        <f>'Peňažné toky projektu'!AA32</f>
        <v>979.2253194863316</v>
      </c>
      <c r="AC17" s="204">
        <f>'Peňažné toky projektu'!AB32</f>
        <v>979.2253194863316</v>
      </c>
      <c r="AD17" s="204">
        <f>'Peňažné toky projektu'!AC32</f>
        <v>979.2253194863316</v>
      </c>
      <c r="AE17" s="204">
        <f>'Peňažné toky projektu'!AD32</f>
        <v>979.2253194863316</v>
      </c>
      <c r="AF17" s="204">
        <f>'Peňažné toky projektu'!AE32</f>
        <v>979.2253194863316</v>
      </c>
      <c r="AG17" s="204">
        <f>'Peňažné toky projektu'!AF32</f>
        <v>979.2253194863316</v>
      </c>
      <c r="AH17" s="204">
        <f>'Peňažné toky projektu'!AG32</f>
        <v>979.2253194863316</v>
      </c>
      <c r="AI17" s="204">
        <f>'Peňažné toky projektu'!AH32</f>
        <v>0</v>
      </c>
      <c r="AJ17" s="204">
        <f>'Peňažné toky projektu'!AI32</f>
        <v>0</v>
      </c>
      <c r="AK17" s="204">
        <f>'Peňažné toky projektu'!AJ32</f>
        <v>0</v>
      </c>
    </row>
    <row r="18" spans="2:37" s="197" customFormat="1" ht="12.75" hidden="1">
      <c r="B18" s="203" t="s">
        <v>107</v>
      </c>
      <c r="C18" s="204">
        <f>'Peňažné toky projektu'!B38</f>
        <v>0</v>
      </c>
      <c r="D18" s="204">
        <f>'Peňažné toky projektu'!C38</f>
        <v>0</v>
      </c>
      <c r="E18" s="204">
        <f>'Peňažné toky projektu'!D38</f>
        <v>501.5672069131137</v>
      </c>
      <c r="F18" s="204">
        <f>'Peňažné toky projektu'!E38</f>
        <v>563.5820730691138</v>
      </c>
      <c r="G18" s="204">
        <f>'Peňažné toky projektu'!F38</f>
        <v>565.6795473405278</v>
      </c>
      <c r="H18" s="204">
        <f>'Peňažné toky projektu'!G38</f>
        <v>567.1600033707425</v>
      </c>
      <c r="I18" s="204">
        <f>'Peňažné toky projektu'!H38</f>
        <v>567.361746470573</v>
      </c>
      <c r="J18" s="204">
        <f>'Peňažné toky projektu'!I38</f>
        <v>569.4123839886305</v>
      </c>
      <c r="K18" s="204">
        <f>'Peňažné toky projektu'!J38</f>
        <v>569.4123839886305</v>
      </c>
      <c r="L18" s="204">
        <f>'Peňažné toky projektu'!K38</f>
        <v>569.4123839886305</v>
      </c>
      <c r="M18" s="204">
        <f>'Peňažné toky projektu'!L38</f>
        <v>569.4123839886305</v>
      </c>
      <c r="N18" s="204">
        <f>'Peňažné toky projektu'!M38</f>
        <v>569.4123839886305</v>
      </c>
      <c r="O18" s="204">
        <f>'Peňažné toky projektu'!N38</f>
        <v>572.4123839886305</v>
      </c>
      <c r="P18" s="204">
        <f>'Peňažné toky projektu'!O38</f>
        <v>572.4123839886305</v>
      </c>
      <c r="Q18" s="204">
        <f>'Peňažné toky projektu'!P38</f>
        <v>572.4123839886305</v>
      </c>
      <c r="R18" s="204">
        <f>'Peňažné toky projektu'!Q38</f>
        <v>572.4123839886305</v>
      </c>
      <c r="S18" s="204">
        <f>'Peňažné toky projektu'!R38</f>
        <v>572.4123839886305</v>
      </c>
      <c r="T18" s="204">
        <f>'Peňažné toky projektu'!S38</f>
        <v>572.4123839886305</v>
      </c>
      <c r="U18" s="204">
        <f>'Peňažné toky projektu'!T38</f>
        <v>572.4123839886305</v>
      </c>
      <c r="V18" s="204">
        <f>'Peňažné toky projektu'!U38</f>
        <v>572.4123839886305</v>
      </c>
      <c r="W18" s="204">
        <f>'Peňažné toky projektu'!V38</f>
        <v>572.4123839886305</v>
      </c>
      <c r="X18" s="204">
        <f>'Peňažné toky projektu'!W38</f>
        <v>572.4123839886305</v>
      </c>
      <c r="Y18" s="204">
        <f>'Peňažné toky projektu'!X38</f>
        <v>572.4123839886305</v>
      </c>
      <c r="Z18" s="204">
        <f>'Peňažné toky projektu'!Y38</f>
        <v>572.4123839886305</v>
      </c>
      <c r="AA18" s="204">
        <f>'Peňažné toky projektu'!Z38</f>
        <v>572.4123839886305</v>
      </c>
      <c r="AB18" s="204">
        <f>'Peňažné toky projektu'!AA38</f>
        <v>572.4123839886305</v>
      </c>
      <c r="AC18" s="204">
        <f>'Peňažné toky projektu'!AB38</f>
        <v>572.4123839886305</v>
      </c>
      <c r="AD18" s="204">
        <f>'Peňažné toky projektu'!AC38</f>
        <v>572.4123839886305</v>
      </c>
      <c r="AE18" s="204">
        <f>'Peňažné toky projektu'!AD38</f>
        <v>572.4123839886305</v>
      </c>
      <c r="AF18" s="204">
        <f>'Peňažné toky projektu'!AE38</f>
        <v>572.4123839886305</v>
      </c>
      <c r="AG18" s="204">
        <f>'Peňažné toky projektu'!AF38</f>
        <v>572.4123839886305</v>
      </c>
      <c r="AH18" s="204">
        <f>'Peňažné toky projektu'!AG38</f>
        <v>572.4123839886305</v>
      </c>
      <c r="AI18" s="204">
        <f>'Peňažné toky projektu'!AH38</f>
        <v>0</v>
      </c>
      <c r="AJ18" s="204">
        <f>'Peňažné toky projektu'!AI38</f>
        <v>0</v>
      </c>
      <c r="AK18" s="204">
        <f>'Peňažné toky projektu'!AJ38</f>
        <v>0</v>
      </c>
    </row>
    <row r="19" spans="2:37" s="197" customFormat="1" ht="12.75" hidden="1"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</row>
    <row r="20" spans="2:37" s="197" customFormat="1" ht="12.75" hidden="1">
      <c r="B20" s="203" t="s">
        <v>161</v>
      </c>
      <c r="C20" s="195">
        <f>C17-C18</f>
        <v>0</v>
      </c>
      <c r="D20" s="195">
        <f aca="true" t="shared" si="1" ref="D20:AK20">D17-D18</f>
        <v>0</v>
      </c>
      <c r="E20" s="195">
        <f t="shared" si="1"/>
        <v>-24.52477586411368</v>
      </c>
      <c r="F20" s="195">
        <f t="shared" si="1"/>
        <v>345.55746792567027</v>
      </c>
      <c r="G20" s="195">
        <f t="shared" si="1"/>
        <v>381.83889298303495</v>
      </c>
      <c r="H20" s="195">
        <f t="shared" si="1"/>
        <v>407.44733797947276</v>
      </c>
      <c r="I20" s="195">
        <f t="shared" si="1"/>
        <v>410.93702424504306</v>
      </c>
      <c r="J20" s="195">
        <f t="shared" si="1"/>
        <v>409.8129354977011</v>
      </c>
      <c r="K20" s="195">
        <f t="shared" si="1"/>
        <v>409.8129354977011</v>
      </c>
      <c r="L20" s="195">
        <f t="shared" si="1"/>
        <v>409.8129354977011</v>
      </c>
      <c r="M20" s="195">
        <f t="shared" si="1"/>
        <v>409.8129354977011</v>
      </c>
      <c r="N20" s="195">
        <f t="shared" si="1"/>
        <v>409.8129354977011</v>
      </c>
      <c r="O20" s="195">
        <f t="shared" si="1"/>
        <v>406.8129354977011</v>
      </c>
      <c r="P20" s="195">
        <f t="shared" si="1"/>
        <v>406.8129354977011</v>
      </c>
      <c r="Q20" s="195">
        <f t="shared" si="1"/>
        <v>406.8129354977011</v>
      </c>
      <c r="R20" s="195">
        <f t="shared" si="1"/>
        <v>406.8129354977011</v>
      </c>
      <c r="S20" s="195">
        <f t="shared" si="1"/>
        <v>406.8129354977011</v>
      </c>
      <c r="T20" s="195">
        <f t="shared" si="1"/>
        <v>406.8129354977011</v>
      </c>
      <c r="U20" s="195">
        <f t="shared" si="1"/>
        <v>406.8129354977011</v>
      </c>
      <c r="V20" s="195">
        <f t="shared" si="1"/>
        <v>406.8129354977011</v>
      </c>
      <c r="W20" s="195">
        <f t="shared" si="1"/>
        <v>406.8129354977011</v>
      </c>
      <c r="X20" s="195">
        <f t="shared" si="1"/>
        <v>406.8129354977011</v>
      </c>
      <c r="Y20" s="195">
        <f t="shared" si="1"/>
        <v>406.8129354977011</v>
      </c>
      <c r="Z20" s="195">
        <f t="shared" si="1"/>
        <v>406.8129354977011</v>
      </c>
      <c r="AA20" s="195">
        <f t="shared" si="1"/>
        <v>406.8129354977011</v>
      </c>
      <c r="AB20" s="195">
        <f t="shared" si="1"/>
        <v>406.8129354977011</v>
      </c>
      <c r="AC20" s="195">
        <f t="shared" si="1"/>
        <v>406.8129354977011</v>
      </c>
      <c r="AD20" s="195">
        <f t="shared" si="1"/>
        <v>406.8129354977011</v>
      </c>
      <c r="AE20" s="195">
        <f t="shared" si="1"/>
        <v>406.8129354977011</v>
      </c>
      <c r="AF20" s="195">
        <f t="shared" si="1"/>
        <v>406.8129354977011</v>
      </c>
      <c r="AG20" s="195">
        <f t="shared" si="1"/>
        <v>406.8129354977011</v>
      </c>
      <c r="AH20" s="195">
        <f t="shared" si="1"/>
        <v>406.8129354977011</v>
      </c>
      <c r="AI20" s="195">
        <f t="shared" si="1"/>
        <v>0</v>
      </c>
      <c r="AJ20" s="195">
        <f t="shared" si="1"/>
        <v>0</v>
      </c>
      <c r="AK20" s="195">
        <f t="shared" si="1"/>
        <v>0</v>
      </c>
    </row>
    <row r="21" spans="2:37" s="197" customFormat="1" ht="12.75" hidden="1">
      <c r="B21" s="203" t="s">
        <v>7</v>
      </c>
      <c r="C21" s="203"/>
      <c r="D21" s="205" t="e">
        <f>D17/C17-1</f>
        <v>#DIV/0!</v>
      </c>
      <c r="E21" s="205" t="e">
        <f aca="true" t="shared" si="2" ref="E21:AK21">E17/D17-1</f>
        <v>#DIV/0!</v>
      </c>
      <c r="F21" s="205">
        <f t="shared" si="2"/>
        <v>0.9057833891119857</v>
      </c>
      <c r="G21" s="205">
        <f t="shared" si="2"/>
        <v>0.04221453099134198</v>
      </c>
      <c r="H21" s="205">
        <f t="shared" si="2"/>
        <v>0.028589312749841556</v>
      </c>
      <c r="I21" s="205">
        <f t="shared" si="2"/>
        <v>0.0037876067712425687</v>
      </c>
      <c r="J21" s="205">
        <f t="shared" si="2"/>
        <v>0.0009471020494462579</v>
      </c>
      <c r="K21" s="205">
        <f t="shared" si="2"/>
        <v>0</v>
      </c>
      <c r="L21" s="205">
        <f t="shared" si="2"/>
        <v>0</v>
      </c>
      <c r="M21" s="205">
        <f t="shared" si="2"/>
        <v>0</v>
      </c>
      <c r="N21" s="205">
        <f t="shared" si="2"/>
        <v>0</v>
      </c>
      <c r="O21" s="205">
        <f t="shared" si="2"/>
        <v>0</v>
      </c>
      <c r="P21" s="205">
        <f t="shared" si="2"/>
        <v>0</v>
      </c>
      <c r="Q21" s="205">
        <f t="shared" si="2"/>
        <v>0</v>
      </c>
      <c r="R21" s="205">
        <f t="shared" si="2"/>
        <v>0</v>
      </c>
      <c r="S21" s="205">
        <f t="shared" si="2"/>
        <v>0</v>
      </c>
      <c r="T21" s="205">
        <f t="shared" si="2"/>
        <v>0</v>
      </c>
      <c r="U21" s="205">
        <f t="shared" si="2"/>
        <v>0</v>
      </c>
      <c r="V21" s="205">
        <f t="shared" si="2"/>
        <v>0</v>
      </c>
      <c r="W21" s="205">
        <f t="shared" si="2"/>
        <v>0</v>
      </c>
      <c r="X21" s="205">
        <f t="shared" si="2"/>
        <v>0</v>
      </c>
      <c r="Y21" s="205">
        <f t="shared" si="2"/>
        <v>0</v>
      </c>
      <c r="Z21" s="205">
        <f t="shared" si="2"/>
        <v>0</v>
      </c>
      <c r="AA21" s="205">
        <f t="shared" si="2"/>
        <v>0</v>
      </c>
      <c r="AB21" s="205">
        <f t="shared" si="2"/>
        <v>0</v>
      </c>
      <c r="AC21" s="205">
        <f t="shared" si="2"/>
        <v>0</v>
      </c>
      <c r="AD21" s="205">
        <f t="shared" si="2"/>
        <v>0</v>
      </c>
      <c r="AE21" s="205">
        <f t="shared" si="2"/>
        <v>0</v>
      </c>
      <c r="AF21" s="205">
        <f t="shared" si="2"/>
        <v>0</v>
      </c>
      <c r="AG21" s="205">
        <f t="shared" si="2"/>
        <v>0</v>
      </c>
      <c r="AH21" s="205">
        <f t="shared" si="2"/>
        <v>0</v>
      </c>
      <c r="AI21" s="205">
        <f t="shared" si="2"/>
        <v>-1</v>
      </c>
      <c r="AJ21" s="205" t="e">
        <f t="shared" si="2"/>
        <v>#DIV/0!</v>
      </c>
      <c r="AK21" s="205" t="e">
        <f t="shared" si="2"/>
        <v>#DIV/0!</v>
      </c>
    </row>
    <row r="22" spans="2:37" s="197" customFormat="1" ht="12.75" hidden="1">
      <c r="B22" s="203" t="s">
        <v>6</v>
      </c>
      <c r="C22" s="203"/>
      <c r="D22" s="205" t="e">
        <f>D18/C18-1</f>
        <v>#DIV/0!</v>
      </c>
      <c r="E22" s="205" t="e">
        <f aca="true" t="shared" si="3" ref="E22:AK22">E18/D18-1</f>
        <v>#DIV/0!</v>
      </c>
      <c r="F22" s="205">
        <f t="shared" si="3"/>
        <v>0.12364218653302617</v>
      </c>
      <c r="G22" s="205">
        <f t="shared" si="3"/>
        <v>0.0037216838001814523</v>
      </c>
      <c r="H22" s="205">
        <f t="shared" si="3"/>
        <v>0.0026171284381322213</v>
      </c>
      <c r="I22" s="205">
        <f t="shared" si="3"/>
        <v>0.0003557075580640223</v>
      </c>
      <c r="J22" s="205">
        <f t="shared" si="3"/>
        <v>0.0036143387015674655</v>
      </c>
      <c r="K22" s="205">
        <f t="shared" si="3"/>
        <v>0</v>
      </c>
      <c r="L22" s="205">
        <f t="shared" si="3"/>
        <v>0</v>
      </c>
      <c r="M22" s="205">
        <f t="shared" si="3"/>
        <v>0</v>
      </c>
      <c r="N22" s="205">
        <f t="shared" si="3"/>
        <v>0</v>
      </c>
      <c r="O22" s="205">
        <f t="shared" si="3"/>
        <v>0.00526858931129226</v>
      </c>
      <c r="P22" s="205">
        <f t="shared" si="3"/>
        <v>0</v>
      </c>
      <c r="Q22" s="205">
        <f t="shared" si="3"/>
        <v>0</v>
      </c>
      <c r="R22" s="205">
        <f t="shared" si="3"/>
        <v>0</v>
      </c>
      <c r="S22" s="205">
        <f t="shared" si="3"/>
        <v>0</v>
      </c>
      <c r="T22" s="205">
        <f t="shared" si="3"/>
        <v>0</v>
      </c>
      <c r="U22" s="205">
        <f t="shared" si="3"/>
        <v>0</v>
      </c>
      <c r="V22" s="205">
        <f t="shared" si="3"/>
        <v>0</v>
      </c>
      <c r="W22" s="205">
        <f t="shared" si="3"/>
        <v>0</v>
      </c>
      <c r="X22" s="205">
        <f t="shared" si="3"/>
        <v>0</v>
      </c>
      <c r="Y22" s="205">
        <f t="shared" si="3"/>
        <v>0</v>
      </c>
      <c r="Z22" s="205">
        <f t="shared" si="3"/>
        <v>0</v>
      </c>
      <c r="AA22" s="205">
        <f t="shared" si="3"/>
        <v>0</v>
      </c>
      <c r="AB22" s="205">
        <f t="shared" si="3"/>
        <v>0</v>
      </c>
      <c r="AC22" s="205">
        <f t="shared" si="3"/>
        <v>0</v>
      </c>
      <c r="AD22" s="205">
        <f t="shared" si="3"/>
        <v>0</v>
      </c>
      <c r="AE22" s="205">
        <f t="shared" si="3"/>
        <v>0</v>
      </c>
      <c r="AF22" s="205">
        <f t="shared" si="3"/>
        <v>0</v>
      </c>
      <c r="AG22" s="205">
        <f t="shared" si="3"/>
        <v>0</v>
      </c>
      <c r="AH22" s="205">
        <f t="shared" si="3"/>
        <v>0</v>
      </c>
      <c r="AI22" s="205">
        <f t="shared" si="3"/>
        <v>-1</v>
      </c>
      <c r="AJ22" s="205" t="e">
        <f t="shared" si="3"/>
        <v>#DIV/0!</v>
      </c>
      <c r="AK22" s="205" t="e">
        <f t="shared" si="3"/>
        <v>#DIV/0!</v>
      </c>
    </row>
    <row r="23" s="197" customFormat="1" ht="12.75" hidden="1"/>
    <row r="24" spans="2:37" s="197" customFormat="1" ht="12.75" hidden="1">
      <c r="B24" s="206" t="s">
        <v>15</v>
      </c>
      <c r="C24" s="195">
        <f>'Peňažné toky projektu'!B46</f>
        <v>0</v>
      </c>
      <c r="D24" s="195">
        <f>'Peňažné toky projektu'!C46</f>
        <v>0</v>
      </c>
      <c r="E24" s="195">
        <f>'Peňažné toky projektu'!D46</f>
        <v>-24.524775864113508</v>
      </c>
      <c r="F24" s="195">
        <f>'Peňažné toky projektu'!E46</f>
        <v>-18.96730793844324</v>
      </c>
      <c r="G24" s="195">
        <f>'Peňažné toky projektu'!F46</f>
        <v>22.87158504459171</v>
      </c>
      <c r="H24" s="195">
        <f>'Peňažné toky projektu'!G46</f>
        <v>90.31892302406447</v>
      </c>
      <c r="I24" s="195">
        <f>'Peňažné toky projektu'!H46</f>
        <v>161.25594726910754</v>
      </c>
      <c r="J24" s="195">
        <f>'Peňažné toky projektu'!I46</f>
        <v>231.06888276680866</v>
      </c>
      <c r="K24" s="195">
        <f>'Peňažné toky projektu'!J46</f>
        <v>300.8818182645098</v>
      </c>
      <c r="L24" s="195">
        <f>'Peňažné toky projektu'!K46</f>
        <v>370.6947537622109</v>
      </c>
      <c r="M24" s="195">
        <f>'Peňažné toky projektu'!L46</f>
        <v>440.507689259912</v>
      </c>
      <c r="N24" s="195">
        <f>'Peňažné toky projektu'!M46</f>
        <v>510.32062475761313</v>
      </c>
      <c r="O24" s="195">
        <f>'Peňažné toky projektu'!N46</f>
        <v>577.1335602553143</v>
      </c>
      <c r="P24" s="195">
        <f>'Peňažné toky projektu'!O46</f>
        <v>983.9464957530154</v>
      </c>
      <c r="Q24" s="195">
        <f>'Peňažné toky projektu'!P46</f>
        <v>1385.2957138086324</v>
      </c>
      <c r="R24" s="195">
        <f>'Peňažné toky projektu'!Q46</f>
        <v>286.6449318642492</v>
      </c>
      <c r="S24" s="195">
        <f>'Peňažné toky projektu'!R46</f>
        <v>693.4578673619503</v>
      </c>
      <c r="T24" s="195">
        <f>'Peňažné toky projektu'!S46</f>
        <v>1100.2708028596514</v>
      </c>
      <c r="U24" s="195">
        <f>'Peňažné toky projektu'!T46</f>
        <v>1507.0837383573526</v>
      </c>
      <c r="V24" s="195">
        <f>'Peňažné toky projektu'!U46</f>
        <v>1913.8966738550537</v>
      </c>
      <c r="W24" s="195">
        <f>'Peňažné toky projektu'!V46</f>
        <v>2320.709609352755</v>
      </c>
      <c r="X24" s="195">
        <f>'Peňažné toky projektu'!W46</f>
        <v>2727.522544850456</v>
      </c>
      <c r="Y24" s="195">
        <f>'Peňažné toky projektu'!X46</f>
        <v>3082.135044991547</v>
      </c>
      <c r="Z24" s="195">
        <f>'Peňažné toky projektu'!Y46</f>
        <v>3420.6413531128633</v>
      </c>
      <c r="AA24" s="195">
        <f>'Peňažné toky projektu'!Z46</f>
        <v>3759.1476612341794</v>
      </c>
      <c r="AB24" s="195">
        <f>'Peňažné toky projektu'!AA46</f>
        <v>4097.653969355495</v>
      </c>
      <c r="AC24" s="195">
        <f>'Peňažné toky projektu'!AB46</f>
        <v>4436.160277476811</v>
      </c>
      <c r="AD24" s="195">
        <f>'Peňažné toky projektu'!AC46</f>
        <v>4774.666585598126</v>
      </c>
      <c r="AE24" s="195">
        <f>'Peňažné toky projektu'!AD46</f>
        <v>5104.185063351264</v>
      </c>
      <c r="AF24" s="195">
        <f>'Peňažné toky projektu'!AE46</f>
        <v>5433.703541104402</v>
      </c>
      <c r="AG24" s="195">
        <f>'Peňažné toky projektu'!AF46</f>
        <v>5763.222018857539</v>
      </c>
      <c r="AH24" s="195">
        <f>'Peňažné toky projektu'!AG46</f>
        <v>6092.740496610677</v>
      </c>
      <c r="AI24" s="195">
        <f>'Peňažné toky projektu'!AH46</f>
        <v>6015.446038866114</v>
      </c>
      <c r="AJ24" s="195">
        <f>'Peňažné toky projektu'!AI46</f>
        <v>6015.446038866114</v>
      </c>
      <c r="AK24" s="195">
        <f>'Peňažné toky projektu'!AJ46</f>
        <v>6015.446038866114</v>
      </c>
    </row>
    <row r="25" spans="2:37" s="197" customFormat="1" ht="12.75" hidden="1">
      <c r="B25" s="206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</row>
    <row r="26" spans="2:37" s="197" customFormat="1" ht="12.75" hidden="1">
      <c r="B26" s="214" t="s">
        <v>186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</row>
    <row r="27" spans="2:37" s="197" customFormat="1" ht="12.75" hidden="1">
      <c r="B27" s="208" t="s">
        <v>181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</row>
    <row r="28" spans="2:37" s="197" customFormat="1" ht="12.75" hidden="1">
      <c r="B28" s="208" t="s">
        <v>182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</row>
    <row r="29" spans="2:37" s="197" customFormat="1" ht="12.75" hidden="1">
      <c r="B29" s="208" t="s">
        <v>183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</row>
    <row r="30" spans="2:37" s="197" customFormat="1" ht="12.75" hidden="1">
      <c r="B30" s="208" t="s">
        <v>184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</row>
    <row r="31" spans="2:37" s="197" customFormat="1" ht="12.75" hidden="1">
      <c r="B31" s="208" t="s">
        <v>185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</row>
    <row r="32" spans="2:37" s="197" customFormat="1" ht="12.75" hidden="1">
      <c r="B32" s="208" t="s">
        <v>176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</row>
    <row r="33" spans="2:37" s="197" customFormat="1" ht="12.75" hidden="1">
      <c r="B33" s="206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</row>
    <row r="34" s="197" customFormat="1" ht="12.75" hidden="1"/>
    <row r="35" ht="18">
      <c r="B35" s="207" t="s">
        <v>170</v>
      </c>
    </row>
    <row r="36" ht="12.75" customHeight="1">
      <c r="B36" s="207"/>
    </row>
    <row r="37" spans="1:13" ht="12.75" customHeight="1">
      <c r="A37" s="209"/>
      <c r="B37" s="212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12.75">
      <c r="A38" s="209"/>
      <c r="B38" s="210" t="s">
        <v>171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2.75">
      <c r="A39" s="209"/>
      <c r="B39" s="210" t="s">
        <v>173</v>
      </c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12.75">
      <c r="A40" s="209"/>
      <c r="B40" s="211" t="s">
        <v>172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12.75">
      <c r="A41" s="209"/>
      <c r="B41" s="210" t="s">
        <v>175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  <row r="42" spans="1:13" ht="12.75">
      <c r="A42" s="209"/>
      <c r="B42" s="211" t="s">
        <v>178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</row>
    <row r="43" spans="1:13" ht="12.75">
      <c r="A43" s="209"/>
      <c r="B43" s="211" t="s">
        <v>179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</row>
    <row r="44" spans="1:13" ht="12.75">
      <c r="A44" s="209"/>
      <c r="B44" s="211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</row>
    <row r="45" spans="1:13" ht="40.5" customHeight="1">
      <c r="A45" s="209"/>
      <c r="B45" s="275" t="s">
        <v>180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10"/>
    </row>
    <row r="46" spans="1:13" ht="12.75">
      <c r="A46" s="209"/>
      <c r="B46" s="21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</row>
    <row r="47" ht="12.75"/>
    <row r="48" ht="12.75"/>
    <row r="49" ht="13.5" thickBot="1">
      <c r="B49" s="216" t="s">
        <v>177</v>
      </c>
    </row>
    <row r="50" spans="2:13" s="213" customFormat="1" ht="33" customHeight="1" thickTop="1">
      <c r="B50" s="276">
        <f>IF(C4,"",B27)</f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8"/>
    </row>
    <row r="51" spans="2:13" s="213" customFormat="1" ht="45" customHeight="1">
      <c r="B51" s="279">
        <f>IF(C10,"",B28)</f>
      </c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1"/>
    </row>
    <row r="52" spans="2:13" s="213" customFormat="1" ht="44.25" customHeight="1">
      <c r="B52" s="279" t="str">
        <f>IF(C7,IF(C13,"",B29),"")</f>
        <v>Celková výška čerpania úveru uvedená na liste Úver v riadku Čerpanie úveru nedosahuje celkovú výšku potrebného spolufinancovania žiadateľa (Celkové výdavky mínus Požadovaná výška nenávratného finančného príspevku v tab. č. 14 na liste Investičné výdavky). Pokiaľ neplánujete pokryť celkovú výšku Vášho spolufinancovania z úveru môžete toto hlásenie ignorovať. </v>
      </c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1"/>
    </row>
    <row r="53" spans="2:13" s="213" customFormat="1" ht="38.25" customHeight="1">
      <c r="B53" s="279">
        <f>IF(J4,"",B30)</f>
      </c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1"/>
    </row>
    <row r="54" spans="2:13" s="213" customFormat="1" ht="27.75" customHeight="1">
      <c r="B54" s="279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1"/>
    </row>
    <row r="55" spans="2:13" ht="20.25" customHeight="1" thickBot="1">
      <c r="B55" s="272">
        <f>IF(COUNTIF(B50:B54,"")=5,B32,"")</f>
      </c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4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125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125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775</v>
      </c>
      <c r="F13" s="7">
        <f t="shared" si="4"/>
        <v>224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125</v>
      </c>
      <c r="F18" s="23">
        <f>SUM(D12:F12)</f>
        <v>125</v>
      </c>
      <c r="G18" s="23">
        <f>SUM(D12:G12)</f>
        <v>125</v>
      </c>
      <c r="H18" s="23">
        <f>SUM(D12:H12)</f>
        <v>125</v>
      </c>
      <c r="I18" s="23">
        <f>SUM(D12:I12)</f>
        <v>125</v>
      </c>
      <c r="J18" s="23">
        <f>SUM(D12:J12)</f>
        <v>125</v>
      </c>
      <c r="K18" s="23">
        <f>SUM(D12:K12)</f>
        <v>125</v>
      </c>
      <c r="L18" s="23">
        <f>SUM(D12:L12)</f>
        <v>125</v>
      </c>
      <c r="M18" s="23">
        <f>SUM(D12:M12)</f>
        <v>125</v>
      </c>
      <c r="N18" s="23">
        <f>SUM(D12:N12)</f>
        <v>125</v>
      </c>
      <c r="O18" s="23">
        <f>SUM(D12:O12)</f>
        <v>125</v>
      </c>
      <c r="P18" s="23">
        <f aca="true" t="shared" si="7" ref="P18:AL18">SUM(E12:P12)</f>
        <v>125</v>
      </c>
      <c r="Q18" s="23">
        <f t="shared" si="7"/>
        <v>0</v>
      </c>
      <c r="R18" s="23">
        <f t="shared" si="7"/>
        <v>0</v>
      </c>
      <c r="S18" s="23">
        <f t="shared" si="7"/>
        <v>125</v>
      </c>
      <c r="T18" s="23">
        <f t="shared" si="7"/>
        <v>125</v>
      </c>
      <c r="U18" s="23">
        <f t="shared" si="7"/>
        <v>125</v>
      </c>
      <c r="V18" s="23">
        <f t="shared" si="7"/>
        <v>125</v>
      </c>
      <c r="W18" s="23">
        <f t="shared" si="7"/>
        <v>125</v>
      </c>
      <c r="X18" s="23">
        <f t="shared" si="7"/>
        <v>125</v>
      </c>
      <c r="Y18" s="23">
        <f t="shared" si="7"/>
        <v>125</v>
      </c>
      <c r="Z18" s="23">
        <f t="shared" si="7"/>
        <v>125</v>
      </c>
      <c r="AA18" s="23">
        <f t="shared" si="7"/>
        <v>125</v>
      </c>
      <c r="AB18" s="23">
        <f t="shared" si="7"/>
        <v>125</v>
      </c>
      <c r="AC18" s="23">
        <f t="shared" si="7"/>
        <v>125</v>
      </c>
      <c r="AD18" s="23">
        <f t="shared" si="7"/>
        <v>125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775</v>
      </c>
      <c r="F19" s="23">
        <f>SUM(D13:F13)</f>
        <v>999</v>
      </c>
      <c r="G19" s="23">
        <f>SUM(D13:G13)</f>
        <v>999</v>
      </c>
      <c r="H19" s="23">
        <f>SUM(D13:H13)</f>
        <v>999</v>
      </c>
      <c r="I19" s="23">
        <f>SUM(D13:I13)</f>
        <v>999</v>
      </c>
      <c r="J19" s="23">
        <f>SUM(D13:J13)</f>
        <v>999</v>
      </c>
      <c r="K19" s="23">
        <f>SUM(D13:K13)</f>
        <v>999</v>
      </c>
      <c r="L19" s="23">
        <f>SUM(D13:L13)</f>
        <v>999</v>
      </c>
      <c r="M19" s="23">
        <f>SUM(D13:M13)</f>
        <v>999</v>
      </c>
      <c r="N19" s="23">
        <f>SUM(D13:N13)</f>
        <v>999</v>
      </c>
      <c r="O19" s="23">
        <f>SUM(D13:O13)</f>
        <v>999</v>
      </c>
      <c r="P19" s="23">
        <f>SUM(D13:P13)</f>
        <v>999</v>
      </c>
      <c r="Q19" s="23">
        <f>SUM(D13:Q13)</f>
        <v>999</v>
      </c>
      <c r="R19" s="23">
        <f>SUM(D13:R13)</f>
        <v>999</v>
      </c>
      <c r="S19" s="23">
        <f>SUM(D13:S13)</f>
        <v>999</v>
      </c>
      <c r="T19" s="23">
        <f>SUM(D13:T13)</f>
        <v>999</v>
      </c>
      <c r="U19" s="23">
        <f>SUM(D13:U13)</f>
        <v>999</v>
      </c>
      <c r="V19" s="23">
        <f>SUM(D13:V13)</f>
        <v>999</v>
      </c>
      <c r="W19" s="23">
        <f>SUM(D13:W13)</f>
        <v>999</v>
      </c>
      <c r="X19" s="23">
        <f aca="true" t="shared" si="8" ref="X19:AL19">SUM(E13:X13)</f>
        <v>999</v>
      </c>
      <c r="Y19" s="23">
        <f t="shared" si="8"/>
        <v>224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125</v>
      </c>
      <c r="F11" s="23">
        <f aca="true" t="shared" si="3" ref="F11:AL11">F212</f>
        <v>229.16666666666666</v>
      </c>
      <c r="G11" s="23">
        <f t="shared" si="3"/>
        <v>208.33333333333331</v>
      </c>
      <c r="H11" s="23">
        <f t="shared" si="3"/>
        <v>187.5</v>
      </c>
      <c r="I11" s="23">
        <f t="shared" si="3"/>
        <v>166.66666666666666</v>
      </c>
      <c r="J11" s="23">
        <f t="shared" si="3"/>
        <v>145.83333333333334</v>
      </c>
      <c r="K11" s="23">
        <f t="shared" si="3"/>
        <v>125</v>
      </c>
      <c r="L11" s="23">
        <f t="shared" si="3"/>
        <v>104.16666666666667</v>
      </c>
      <c r="M11" s="23">
        <f t="shared" si="3"/>
        <v>83.33333333333333</v>
      </c>
      <c r="N11" s="23">
        <f t="shared" si="3"/>
        <v>62.49999999999999</v>
      </c>
      <c r="O11" s="23">
        <f t="shared" si="3"/>
        <v>41.666666666666664</v>
      </c>
      <c r="P11" s="23">
        <f t="shared" si="3"/>
        <v>20.83333333333333</v>
      </c>
      <c r="Q11" s="23">
        <f t="shared" si="3"/>
        <v>0</v>
      </c>
      <c r="R11" s="23">
        <f t="shared" si="3"/>
        <v>0</v>
      </c>
      <c r="S11" s="23">
        <f t="shared" si="3"/>
        <v>125</v>
      </c>
      <c r="T11" s="23">
        <f t="shared" si="3"/>
        <v>229.16666666666666</v>
      </c>
      <c r="U11" s="23">
        <f t="shared" si="3"/>
        <v>208.33333333333331</v>
      </c>
      <c r="V11" s="23">
        <f t="shared" si="3"/>
        <v>187.5</v>
      </c>
      <c r="W11" s="23">
        <f t="shared" si="3"/>
        <v>166.66666666666666</v>
      </c>
      <c r="X11" s="23">
        <f t="shared" si="3"/>
        <v>145.83333333333334</v>
      </c>
      <c r="Y11" s="23">
        <f t="shared" si="3"/>
        <v>125</v>
      </c>
      <c r="Z11" s="23">
        <f t="shared" si="3"/>
        <v>104.16666666666667</v>
      </c>
      <c r="AA11" s="23">
        <f t="shared" si="3"/>
        <v>83.33333333333333</v>
      </c>
      <c r="AB11" s="23">
        <f t="shared" si="3"/>
        <v>62.49999999999999</v>
      </c>
      <c r="AC11" s="23">
        <f t="shared" si="3"/>
        <v>41.666666666666664</v>
      </c>
      <c r="AD11" s="23">
        <f t="shared" si="3"/>
        <v>20.83333333333333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775</v>
      </c>
      <c r="F12" s="23">
        <f aca="true" t="shared" si="4" ref="F12:AL12">F291</f>
        <v>1696.5</v>
      </c>
      <c r="G12" s="23">
        <f t="shared" si="4"/>
        <v>1820.6</v>
      </c>
      <c r="H12" s="23">
        <f t="shared" si="4"/>
        <v>1720.7</v>
      </c>
      <c r="I12" s="23">
        <f t="shared" si="4"/>
        <v>1620.8</v>
      </c>
      <c r="J12" s="23">
        <f t="shared" si="4"/>
        <v>1520.9</v>
      </c>
      <c r="K12" s="23">
        <f t="shared" si="4"/>
        <v>1421</v>
      </c>
      <c r="L12" s="23">
        <f t="shared" si="4"/>
        <v>1321.1</v>
      </c>
      <c r="M12" s="23">
        <f t="shared" si="4"/>
        <v>1221.2</v>
      </c>
      <c r="N12" s="23">
        <f t="shared" si="4"/>
        <v>1121.3</v>
      </c>
      <c r="O12" s="23">
        <f t="shared" si="4"/>
        <v>1021.4</v>
      </c>
      <c r="P12" s="23">
        <f t="shared" si="4"/>
        <v>921.5</v>
      </c>
      <c r="Q12" s="23">
        <f t="shared" si="4"/>
        <v>821.6</v>
      </c>
      <c r="R12" s="23">
        <f t="shared" si="4"/>
        <v>721.7</v>
      </c>
      <c r="S12" s="23">
        <f t="shared" si="4"/>
        <v>621.8</v>
      </c>
      <c r="T12" s="23">
        <f t="shared" si="4"/>
        <v>521.9</v>
      </c>
      <c r="U12" s="23">
        <f t="shared" si="4"/>
        <v>422</v>
      </c>
      <c r="V12" s="23">
        <f t="shared" si="4"/>
        <v>322.1</v>
      </c>
      <c r="W12" s="23">
        <f t="shared" si="4"/>
        <v>222.2</v>
      </c>
      <c r="X12" s="23">
        <f t="shared" si="4"/>
        <v>122.30000000000001</v>
      </c>
      <c r="Y12" s="23">
        <f t="shared" si="4"/>
        <v>22.4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125</v>
      </c>
      <c r="F178" s="23">
        <f aca="true" t="shared" si="47" ref="F178:Q178">(2*E217)/($E$175-(F$176-$C178))</f>
        <v>229.16666666666666</v>
      </c>
      <c r="G178" s="23">
        <f t="shared" si="47"/>
        <v>208.33333333333331</v>
      </c>
      <c r="H178" s="23">
        <f t="shared" si="47"/>
        <v>187.5</v>
      </c>
      <c r="I178" s="23">
        <f t="shared" si="47"/>
        <v>166.66666666666666</v>
      </c>
      <c r="J178" s="23">
        <f t="shared" si="47"/>
        <v>145.83333333333334</v>
      </c>
      <c r="K178" s="23">
        <f t="shared" si="47"/>
        <v>125</v>
      </c>
      <c r="L178" s="23">
        <f t="shared" si="47"/>
        <v>104.16666666666667</v>
      </c>
      <c r="M178" s="23">
        <f t="shared" si="47"/>
        <v>83.33333333333333</v>
      </c>
      <c r="N178" s="23">
        <f t="shared" si="47"/>
        <v>62.49999999999999</v>
      </c>
      <c r="O178" s="23">
        <f t="shared" si="47"/>
        <v>41.666666666666664</v>
      </c>
      <c r="P178" s="23">
        <f t="shared" si="47"/>
        <v>20.83333333333333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125</v>
      </c>
      <c r="T192" s="23">
        <f aca="true" t="shared" si="62" ref="T192:AE192">(2*S231)/($E$175-(T$176-$C192))</f>
        <v>229.16666666666666</v>
      </c>
      <c r="U192" s="23">
        <f t="shared" si="62"/>
        <v>208.33333333333331</v>
      </c>
      <c r="V192" s="23">
        <f t="shared" si="62"/>
        <v>187.5</v>
      </c>
      <c r="W192" s="23">
        <f t="shared" si="62"/>
        <v>166.66666666666666</v>
      </c>
      <c r="X192" s="23">
        <f t="shared" si="62"/>
        <v>145.83333333333334</v>
      </c>
      <c r="Y192" s="23">
        <f t="shared" si="62"/>
        <v>125</v>
      </c>
      <c r="Z192" s="23">
        <f t="shared" si="62"/>
        <v>104.16666666666667</v>
      </c>
      <c r="AA192" s="23">
        <f t="shared" si="62"/>
        <v>83.33333333333333</v>
      </c>
      <c r="AB192" s="23">
        <f t="shared" si="62"/>
        <v>62.49999999999999</v>
      </c>
      <c r="AC192" s="23">
        <f t="shared" si="62"/>
        <v>41.666666666666664</v>
      </c>
      <c r="AD192" s="23">
        <f t="shared" si="62"/>
        <v>20.83333333333333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125</v>
      </c>
      <c r="F212" s="26">
        <f t="shared" si="70"/>
        <v>229.16666666666666</v>
      </c>
      <c r="G212" s="26">
        <f t="shared" si="70"/>
        <v>208.33333333333331</v>
      </c>
      <c r="H212" s="26">
        <f t="shared" si="70"/>
        <v>187.5</v>
      </c>
      <c r="I212" s="26">
        <f t="shared" si="70"/>
        <v>166.66666666666666</v>
      </c>
      <c r="J212" s="26">
        <f t="shared" si="70"/>
        <v>145.83333333333334</v>
      </c>
      <c r="K212" s="26">
        <f t="shared" si="70"/>
        <v>125</v>
      </c>
      <c r="L212" s="26">
        <f t="shared" si="70"/>
        <v>104.16666666666667</v>
      </c>
      <c r="M212" s="26">
        <f t="shared" si="70"/>
        <v>83.33333333333333</v>
      </c>
      <c r="N212" s="26">
        <f t="shared" si="70"/>
        <v>62.49999999999999</v>
      </c>
      <c r="O212" s="26">
        <f t="shared" si="70"/>
        <v>41.666666666666664</v>
      </c>
      <c r="P212" s="26">
        <f t="shared" si="70"/>
        <v>20.83333333333333</v>
      </c>
      <c r="Q212" s="26">
        <f t="shared" si="70"/>
        <v>0</v>
      </c>
      <c r="R212" s="26">
        <f t="shared" si="70"/>
        <v>0</v>
      </c>
      <c r="S212" s="26">
        <f t="shared" si="70"/>
        <v>125</v>
      </c>
      <c r="T212" s="26">
        <f t="shared" si="70"/>
        <v>229.16666666666666</v>
      </c>
      <c r="U212" s="26">
        <f t="shared" si="70"/>
        <v>208.33333333333331</v>
      </c>
      <c r="V212" s="26">
        <f t="shared" si="70"/>
        <v>187.5</v>
      </c>
      <c r="W212" s="26">
        <f t="shared" si="70"/>
        <v>166.66666666666666</v>
      </c>
      <c r="X212" s="26">
        <f t="shared" si="70"/>
        <v>145.83333333333334</v>
      </c>
      <c r="Y212" s="26">
        <f t="shared" si="70"/>
        <v>125</v>
      </c>
      <c r="Z212" s="26">
        <f t="shared" si="70"/>
        <v>104.16666666666667</v>
      </c>
      <c r="AA212" s="26">
        <f t="shared" si="70"/>
        <v>83.33333333333333</v>
      </c>
      <c r="AB212" s="26">
        <f t="shared" si="70"/>
        <v>62.49999999999999</v>
      </c>
      <c r="AC212" s="26">
        <f t="shared" si="70"/>
        <v>41.666666666666664</v>
      </c>
      <c r="AD212" s="26">
        <f t="shared" si="70"/>
        <v>20.83333333333333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1375</v>
      </c>
      <c r="F217" s="23">
        <f aca="true" t="shared" si="73" ref="F217:P217">E217-F178</f>
        <v>1145.8333333333333</v>
      </c>
      <c r="G217" s="23">
        <f t="shared" si="73"/>
        <v>937.5</v>
      </c>
      <c r="H217" s="23">
        <f t="shared" si="73"/>
        <v>750</v>
      </c>
      <c r="I217" s="23">
        <f t="shared" si="73"/>
        <v>583.3333333333334</v>
      </c>
      <c r="J217" s="23">
        <f t="shared" si="73"/>
        <v>437.5</v>
      </c>
      <c r="K217" s="23">
        <f t="shared" si="73"/>
        <v>312.5</v>
      </c>
      <c r="L217" s="23">
        <f t="shared" si="73"/>
        <v>208.33333333333331</v>
      </c>
      <c r="M217" s="23">
        <f t="shared" si="73"/>
        <v>124.99999999999999</v>
      </c>
      <c r="N217" s="23">
        <f t="shared" si="73"/>
        <v>62.49999999999999</v>
      </c>
      <c r="O217" s="23">
        <f t="shared" si="73"/>
        <v>20.83333333333333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1375</v>
      </c>
      <c r="T231" s="23">
        <f aca="true" t="shared" si="88" ref="T231:AD231">S231-T192</f>
        <v>1145.8333333333333</v>
      </c>
      <c r="U231" s="23">
        <f t="shared" si="88"/>
        <v>937.5</v>
      </c>
      <c r="V231" s="23">
        <f t="shared" si="88"/>
        <v>750</v>
      </c>
      <c r="W231" s="23">
        <f t="shared" si="88"/>
        <v>583.3333333333334</v>
      </c>
      <c r="X231" s="23">
        <f t="shared" si="88"/>
        <v>437.5</v>
      </c>
      <c r="Y231" s="23">
        <f t="shared" si="88"/>
        <v>312.5</v>
      </c>
      <c r="Z231" s="23">
        <f t="shared" si="88"/>
        <v>208.33333333333331</v>
      </c>
      <c r="AA231" s="23">
        <f t="shared" si="88"/>
        <v>124.99999999999999</v>
      </c>
      <c r="AB231" s="23">
        <f t="shared" si="88"/>
        <v>62.49999999999999</v>
      </c>
      <c r="AC231" s="23">
        <f t="shared" si="88"/>
        <v>20.83333333333333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775</v>
      </c>
      <c r="F257" s="23">
        <f aca="true" t="shared" si="103" ref="F257:Y257">(2*E296)/($E$254-(F$255-$C257))</f>
        <v>1472.5</v>
      </c>
      <c r="G257" s="23">
        <f t="shared" si="103"/>
        <v>1395</v>
      </c>
      <c r="H257" s="23">
        <f t="shared" si="103"/>
        <v>1317.5</v>
      </c>
      <c r="I257" s="23">
        <f t="shared" si="103"/>
        <v>1240</v>
      </c>
      <c r="J257" s="23">
        <f t="shared" si="103"/>
        <v>1162.5</v>
      </c>
      <c r="K257" s="23">
        <f t="shared" si="103"/>
        <v>1085</v>
      </c>
      <c r="L257" s="23">
        <f t="shared" si="103"/>
        <v>1007.5</v>
      </c>
      <c r="M257" s="23">
        <f t="shared" si="103"/>
        <v>930</v>
      </c>
      <c r="N257" s="23">
        <f t="shared" si="103"/>
        <v>852.5</v>
      </c>
      <c r="O257" s="23">
        <f t="shared" si="103"/>
        <v>775</v>
      </c>
      <c r="P257" s="23">
        <f t="shared" si="103"/>
        <v>697.5</v>
      </c>
      <c r="Q257" s="23">
        <f t="shared" si="103"/>
        <v>620</v>
      </c>
      <c r="R257" s="23">
        <f t="shared" si="103"/>
        <v>542.5</v>
      </c>
      <c r="S257" s="23">
        <f t="shared" si="103"/>
        <v>465</v>
      </c>
      <c r="T257" s="23">
        <f t="shared" si="103"/>
        <v>387.5</v>
      </c>
      <c r="U257" s="23">
        <f t="shared" si="103"/>
        <v>310</v>
      </c>
      <c r="V257" s="23">
        <f t="shared" si="103"/>
        <v>232.5</v>
      </c>
      <c r="W257" s="23">
        <f t="shared" si="103"/>
        <v>155</v>
      </c>
      <c r="X257" s="23">
        <f t="shared" si="103"/>
        <v>77.5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224</v>
      </c>
      <c r="G258" s="23">
        <f aca="true" t="shared" si="105" ref="G258:Z258">(2*F297)/($E$254-(G$255-$C258))</f>
        <v>425.6</v>
      </c>
      <c r="H258" s="23">
        <f t="shared" si="105"/>
        <v>403.2</v>
      </c>
      <c r="I258" s="23">
        <f t="shared" si="105"/>
        <v>380.8</v>
      </c>
      <c r="J258" s="23">
        <f t="shared" si="105"/>
        <v>358.40000000000003</v>
      </c>
      <c r="K258" s="23">
        <f t="shared" si="105"/>
        <v>336</v>
      </c>
      <c r="L258" s="23">
        <f t="shared" si="105"/>
        <v>313.6</v>
      </c>
      <c r="M258" s="23">
        <f t="shared" si="105"/>
        <v>291.2</v>
      </c>
      <c r="N258" s="23">
        <f t="shared" si="105"/>
        <v>268.8</v>
      </c>
      <c r="O258" s="23">
        <f t="shared" si="105"/>
        <v>246.4</v>
      </c>
      <c r="P258" s="23">
        <f t="shared" si="105"/>
        <v>224</v>
      </c>
      <c r="Q258" s="23">
        <f t="shared" si="105"/>
        <v>201.6</v>
      </c>
      <c r="R258" s="23">
        <f t="shared" si="105"/>
        <v>179.2</v>
      </c>
      <c r="S258" s="23">
        <f t="shared" si="105"/>
        <v>156.8</v>
      </c>
      <c r="T258" s="23">
        <f t="shared" si="105"/>
        <v>134.4</v>
      </c>
      <c r="U258" s="23">
        <f t="shared" si="105"/>
        <v>112</v>
      </c>
      <c r="V258" s="23">
        <f t="shared" si="105"/>
        <v>89.6</v>
      </c>
      <c r="W258" s="23">
        <f t="shared" si="105"/>
        <v>67.2</v>
      </c>
      <c r="X258" s="23">
        <f t="shared" si="105"/>
        <v>44.800000000000004</v>
      </c>
      <c r="Y258" s="23">
        <f t="shared" si="105"/>
        <v>22.4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775</v>
      </c>
      <c r="F291" s="26">
        <f t="shared" si="132"/>
        <v>1696.5</v>
      </c>
      <c r="G291" s="26">
        <f t="shared" si="132"/>
        <v>1820.6</v>
      </c>
      <c r="H291" s="26">
        <f t="shared" si="132"/>
        <v>1720.7</v>
      </c>
      <c r="I291" s="26">
        <f t="shared" si="132"/>
        <v>1620.8</v>
      </c>
      <c r="J291" s="26">
        <f t="shared" si="132"/>
        <v>1520.9</v>
      </c>
      <c r="K291" s="26">
        <f t="shared" si="132"/>
        <v>1421</v>
      </c>
      <c r="L291" s="26">
        <f t="shared" si="132"/>
        <v>1321.1</v>
      </c>
      <c r="M291" s="26">
        <f t="shared" si="132"/>
        <v>1221.2</v>
      </c>
      <c r="N291" s="26">
        <f t="shared" si="132"/>
        <v>1121.3</v>
      </c>
      <c r="O291" s="26">
        <f t="shared" si="132"/>
        <v>1021.4</v>
      </c>
      <c r="P291" s="26">
        <f t="shared" si="132"/>
        <v>921.5</v>
      </c>
      <c r="Q291" s="26">
        <f t="shared" si="132"/>
        <v>821.6</v>
      </c>
      <c r="R291" s="26">
        <f t="shared" si="132"/>
        <v>721.7</v>
      </c>
      <c r="S291" s="26">
        <f t="shared" si="132"/>
        <v>621.8</v>
      </c>
      <c r="T291" s="26">
        <f t="shared" si="132"/>
        <v>521.9</v>
      </c>
      <c r="U291" s="26">
        <f t="shared" si="132"/>
        <v>422</v>
      </c>
      <c r="V291" s="26">
        <f t="shared" si="132"/>
        <v>322.1</v>
      </c>
      <c r="W291" s="26">
        <f t="shared" si="132"/>
        <v>222.2</v>
      </c>
      <c r="X291" s="26">
        <f t="shared" si="132"/>
        <v>122.30000000000001</v>
      </c>
      <c r="Y291" s="26">
        <f t="shared" si="132"/>
        <v>22.4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14725</v>
      </c>
      <c r="F296" s="23">
        <f aca="true" t="shared" si="135" ref="F296:X296">E296-F257</f>
        <v>13252.5</v>
      </c>
      <c r="G296" s="23">
        <f t="shared" si="135"/>
        <v>11857.5</v>
      </c>
      <c r="H296" s="23">
        <f t="shared" si="135"/>
        <v>10540</v>
      </c>
      <c r="I296" s="23">
        <f t="shared" si="135"/>
        <v>9300</v>
      </c>
      <c r="J296" s="23">
        <f t="shared" si="135"/>
        <v>8137.5</v>
      </c>
      <c r="K296" s="23">
        <f t="shared" si="135"/>
        <v>7052.5</v>
      </c>
      <c r="L296" s="23">
        <f t="shared" si="135"/>
        <v>6045</v>
      </c>
      <c r="M296" s="23">
        <f t="shared" si="135"/>
        <v>5115</v>
      </c>
      <c r="N296" s="23">
        <f t="shared" si="135"/>
        <v>4262.5</v>
      </c>
      <c r="O296" s="23">
        <f t="shared" si="135"/>
        <v>3487.5</v>
      </c>
      <c r="P296" s="23">
        <f t="shared" si="135"/>
        <v>2790</v>
      </c>
      <c r="Q296" s="23">
        <f t="shared" si="135"/>
        <v>2170</v>
      </c>
      <c r="R296" s="23">
        <f t="shared" si="135"/>
        <v>1627.5</v>
      </c>
      <c r="S296" s="23">
        <f t="shared" si="135"/>
        <v>1162.5</v>
      </c>
      <c r="T296" s="23">
        <f t="shared" si="135"/>
        <v>775</v>
      </c>
      <c r="U296" s="23">
        <f t="shared" si="135"/>
        <v>465</v>
      </c>
      <c r="V296" s="23">
        <f t="shared" si="135"/>
        <v>232.5</v>
      </c>
      <c r="W296" s="23">
        <f t="shared" si="135"/>
        <v>77.5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4256</v>
      </c>
      <c r="G297" s="23">
        <f aca="true" t="shared" si="137" ref="G297:Y297">F297-G258</f>
        <v>3830.4</v>
      </c>
      <c r="H297" s="23">
        <f t="shared" si="137"/>
        <v>3427.2000000000003</v>
      </c>
      <c r="I297" s="23">
        <f t="shared" si="137"/>
        <v>3046.4</v>
      </c>
      <c r="J297" s="23">
        <f t="shared" si="137"/>
        <v>2688</v>
      </c>
      <c r="K297" s="23">
        <f t="shared" si="137"/>
        <v>2352</v>
      </c>
      <c r="L297" s="23">
        <f t="shared" si="137"/>
        <v>2038.4</v>
      </c>
      <c r="M297" s="23">
        <f t="shared" si="137"/>
        <v>1747.2</v>
      </c>
      <c r="N297" s="23">
        <f t="shared" si="137"/>
        <v>1478.4</v>
      </c>
      <c r="O297" s="23">
        <f t="shared" si="137"/>
        <v>1232</v>
      </c>
      <c r="P297" s="23">
        <f t="shared" si="137"/>
        <v>1008</v>
      </c>
      <c r="Q297" s="23">
        <f t="shared" si="137"/>
        <v>806.4</v>
      </c>
      <c r="R297" s="23">
        <f t="shared" si="137"/>
        <v>627.2</v>
      </c>
      <c r="S297" s="23">
        <f t="shared" si="137"/>
        <v>470.40000000000003</v>
      </c>
      <c r="T297" s="23">
        <f t="shared" si="137"/>
        <v>336</v>
      </c>
      <c r="U297" s="23">
        <f t="shared" si="137"/>
        <v>224</v>
      </c>
      <c r="V297" s="23">
        <f t="shared" si="137"/>
        <v>134.4</v>
      </c>
      <c r="W297" s="23">
        <f t="shared" si="137"/>
        <v>67.2</v>
      </c>
      <c r="X297" s="23">
        <f t="shared" si="137"/>
        <v>22.4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4">
      <selection activeCell="E30" sqref="E30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92</v>
      </c>
      <c r="D1" s="5">
        <v>4</v>
      </c>
      <c r="L1" s="58"/>
    </row>
    <row r="2" s="56" customFormat="1" ht="12.75" hidden="1"/>
    <row r="3" spans="2:17" s="56" customFormat="1" ht="12.75" hidden="1">
      <c r="B3" s="99" t="s">
        <v>94</v>
      </c>
      <c r="M3" s="58" t="s">
        <v>93</v>
      </c>
      <c r="Q3" s="58"/>
    </row>
    <row r="4" spans="2:17" s="56" customFormat="1" ht="12.75" hidden="1">
      <c r="B4" s="56" t="s">
        <v>89</v>
      </c>
      <c r="D4" s="56">
        <f>IF($D$1=1,100,0)</f>
        <v>0</v>
      </c>
      <c r="E4" s="56">
        <f>IF($D$1=2,95,0)</f>
        <v>0</v>
      </c>
      <c r="F4" s="56">
        <f>IF($D$1=3,95,0)</f>
        <v>0</v>
      </c>
      <c r="G4" s="56">
        <f>IF($D$1=4,95,0)</f>
        <v>95</v>
      </c>
      <c r="H4" s="56">
        <f>IF($D$1=5,95,0)</f>
        <v>0</v>
      </c>
      <c r="M4" s="103">
        <f>SUM(D4:L4)/100</f>
        <v>0.95</v>
      </c>
      <c r="Q4" s="104"/>
    </row>
    <row r="5" spans="2:17" s="56" customFormat="1" ht="12.75" hidden="1">
      <c r="B5" s="56" t="s">
        <v>90</v>
      </c>
      <c r="D5" s="56">
        <f>IF($D$1=6,40,0)</f>
        <v>0</v>
      </c>
      <c r="E5" s="56">
        <f>IF($D$1=7,50,0)</f>
        <v>0</v>
      </c>
      <c r="F5" s="56">
        <f>IF($D$1=8,60,0)</f>
        <v>0</v>
      </c>
      <c r="G5" s="56">
        <f>IF($D$1=9,40,0)</f>
        <v>0</v>
      </c>
      <c r="H5" s="56">
        <f>IF($D$1=10,50,0)</f>
        <v>0</v>
      </c>
      <c r="I5" s="56">
        <f>IF($D$1=11,60,0)</f>
        <v>0</v>
      </c>
      <c r="J5" s="56">
        <f>IF($D$1=12,50,0)</f>
        <v>0</v>
      </c>
      <c r="K5" s="56">
        <f>IF($D$1=13,60,0)</f>
        <v>0</v>
      </c>
      <c r="L5" s="56">
        <f>IF($D$1=14,70,0)</f>
        <v>0</v>
      </c>
      <c r="M5" s="103">
        <f>SUM(D5:L5)/100</f>
        <v>0</v>
      </c>
      <c r="Q5" s="104"/>
    </row>
    <row r="6" spans="13:17" s="56" customFormat="1" ht="12.75" hidden="1">
      <c r="M6" s="103"/>
      <c r="Q6" s="103"/>
    </row>
    <row r="7" s="56" customFormat="1" ht="12.75" hidden="1">
      <c r="M7" s="99"/>
    </row>
    <row r="8" spans="2:13" s="56" customFormat="1" ht="12.75" hidden="1">
      <c r="B8" s="99" t="s">
        <v>99</v>
      </c>
      <c r="M8" s="58" t="s">
        <v>93</v>
      </c>
    </row>
    <row r="9" spans="4:13" s="56" customFormat="1" ht="12.75" hidden="1">
      <c r="D9" s="56">
        <f>IF($D$1&lt;=4,85,0)</f>
        <v>85</v>
      </c>
      <c r="E9" s="102">
        <f>IF($D$1=5,80.75,0)</f>
        <v>0</v>
      </c>
      <c r="F9" s="56">
        <f>IF($D$1&gt;5,85,0)</f>
        <v>0</v>
      </c>
      <c r="M9" s="108">
        <f>SUM(D9:L9)/100</f>
        <v>0.85</v>
      </c>
    </row>
    <row r="10" s="56" customFormat="1" ht="12.75" hidden="1"/>
    <row r="11" spans="2:13" s="56" customFormat="1" ht="12.75" hidden="1">
      <c r="B11" s="99" t="s">
        <v>100</v>
      </c>
      <c r="M11" s="58" t="s">
        <v>93</v>
      </c>
    </row>
    <row r="12" spans="4:13" s="56" customFormat="1" ht="12.75" hidden="1">
      <c r="D12" s="56">
        <f>IF($D$1=1,15,0)</f>
        <v>0</v>
      </c>
      <c r="E12" s="56">
        <f>IF($D$1&lt;5,IF($D$1&gt;1,10,0),0)</f>
        <v>10</v>
      </c>
      <c r="F12" s="102">
        <f>IF($D$1=5,14.25,0)</f>
        <v>0</v>
      </c>
      <c r="G12" s="56">
        <f>IF($D$1&gt;5,15,0)</f>
        <v>0</v>
      </c>
      <c r="M12" s="108">
        <f>SUM(D12:L12)/100</f>
        <v>0.1</v>
      </c>
    </row>
    <row r="13" s="56" customFormat="1" ht="12.75" hidden="1"/>
    <row r="14" spans="1:16" ht="20.25">
      <c r="A14" s="254" t="s">
        <v>91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</row>
    <row r="15" ht="13.5" thickBot="1"/>
    <row r="16" spans="2:16" ht="13.5" thickTop="1">
      <c r="B16" s="132"/>
      <c r="C16" s="133"/>
      <c r="D16" s="133"/>
      <c r="E16" s="133"/>
      <c r="F16" s="133"/>
      <c r="G16" s="134"/>
      <c r="I16" s="132"/>
      <c r="J16" s="133"/>
      <c r="K16" s="133"/>
      <c r="L16" s="133"/>
      <c r="M16" s="133"/>
      <c r="N16" s="133"/>
      <c r="O16" s="133"/>
      <c r="P16" s="134"/>
    </row>
    <row r="17" spans="2:16" ht="12.75">
      <c r="B17" s="253" t="s">
        <v>75</v>
      </c>
      <c r="C17" s="252"/>
      <c r="D17" s="252"/>
      <c r="E17" s="252"/>
      <c r="F17" s="252"/>
      <c r="G17" s="135"/>
      <c r="H17" s="124"/>
      <c r="I17" s="136"/>
      <c r="J17" s="252" t="s">
        <v>76</v>
      </c>
      <c r="K17" s="252"/>
      <c r="L17" s="252"/>
      <c r="M17" s="252"/>
      <c r="N17" s="252"/>
      <c r="O17" s="252"/>
      <c r="P17" s="138"/>
    </row>
    <row r="18" spans="2:16" ht="54" customHeight="1">
      <c r="B18" s="136"/>
      <c r="C18" s="125"/>
      <c r="D18" s="125"/>
      <c r="E18" s="125"/>
      <c r="F18" s="126" t="s">
        <v>151</v>
      </c>
      <c r="G18" s="137"/>
      <c r="H18" s="100"/>
      <c r="I18" s="111"/>
      <c r="J18" s="125"/>
      <c r="K18" s="125"/>
      <c r="L18" s="125"/>
      <c r="M18" s="125"/>
      <c r="N18" s="125"/>
      <c r="O18" s="126" t="s">
        <v>151</v>
      </c>
      <c r="P18" s="138"/>
    </row>
    <row r="19" spans="2:16" ht="12.75">
      <c r="B19" s="136"/>
      <c r="C19" s="125"/>
      <c r="D19" s="125"/>
      <c r="E19" s="125"/>
      <c r="F19" s="125"/>
      <c r="G19" s="138"/>
      <c r="I19" s="136"/>
      <c r="J19" s="125"/>
      <c r="K19" s="125"/>
      <c r="L19" s="125"/>
      <c r="M19" s="125"/>
      <c r="N19" s="125"/>
      <c r="O19" s="125"/>
      <c r="P19" s="138"/>
    </row>
    <row r="20" spans="2:16" ht="12.75">
      <c r="B20" s="136"/>
      <c r="C20" s="125" t="s">
        <v>79</v>
      </c>
      <c r="D20" s="125"/>
      <c r="E20" s="125"/>
      <c r="F20" s="127">
        <v>1</v>
      </c>
      <c r="G20" s="139"/>
      <c r="H20" s="101"/>
      <c r="I20" s="141"/>
      <c r="J20" s="125"/>
      <c r="K20" s="125" t="s">
        <v>81</v>
      </c>
      <c r="L20" s="125"/>
      <c r="M20" s="125"/>
      <c r="N20" s="125"/>
      <c r="O20" s="127">
        <v>0.95</v>
      </c>
      <c r="P20" s="138"/>
    </row>
    <row r="21" spans="2:16" ht="12.75">
      <c r="B21" s="136"/>
      <c r="C21" s="125" t="s">
        <v>80</v>
      </c>
      <c r="D21" s="125"/>
      <c r="E21" s="125"/>
      <c r="F21" s="127">
        <v>0.95</v>
      </c>
      <c r="G21" s="139"/>
      <c r="H21" s="101"/>
      <c r="I21" s="141"/>
      <c r="J21" s="125"/>
      <c r="K21" s="125"/>
      <c r="L21" s="125"/>
      <c r="M21" s="125"/>
      <c r="N21" s="125"/>
      <c r="O21" s="128"/>
      <c r="P21" s="138"/>
    </row>
    <row r="22" spans="2:16" ht="12.75">
      <c r="B22" s="136"/>
      <c r="C22" s="125" t="s">
        <v>78</v>
      </c>
      <c r="D22" s="125"/>
      <c r="E22" s="125"/>
      <c r="F22" s="127">
        <v>0.95</v>
      </c>
      <c r="G22" s="139"/>
      <c r="H22" s="101"/>
      <c r="I22" s="141"/>
      <c r="J22" s="125"/>
      <c r="K22" s="125"/>
      <c r="L22" s="125"/>
      <c r="M22" s="125"/>
      <c r="N22" s="125"/>
      <c r="O22" s="125"/>
      <c r="P22" s="138"/>
    </row>
    <row r="23" spans="2:16" ht="12.75">
      <c r="B23" s="136"/>
      <c r="C23" s="125" t="s">
        <v>77</v>
      </c>
      <c r="D23" s="125"/>
      <c r="E23" s="125"/>
      <c r="F23" s="127">
        <v>0.95</v>
      </c>
      <c r="G23" s="139"/>
      <c r="H23" s="101"/>
      <c r="I23" s="141"/>
      <c r="J23" s="125"/>
      <c r="K23" s="125" t="s">
        <v>82</v>
      </c>
      <c r="L23" s="125"/>
      <c r="M23" s="125"/>
      <c r="N23" s="125"/>
      <c r="O23" s="128"/>
      <c r="P23" s="138"/>
    </row>
    <row r="24" spans="2:16" ht="12.75">
      <c r="B24" s="136"/>
      <c r="C24" s="125"/>
      <c r="D24" s="125"/>
      <c r="E24" s="125"/>
      <c r="F24" s="125"/>
      <c r="G24" s="138"/>
      <c r="I24" s="136"/>
      <c r="J24" s="125"/>
      <c r="K24" s="125"/>
      <c r="L24" s="125"/>
      <c r="M24" s="125"/>
      <c r="N24" s="125"/>
      <c r="O24" s="128"/>
      <c r="P24" s="138"/>
    </row>
    <row r="25" spans="2:16" ht="12.75">
      <c r="B25" s="136"/>
      <c r="C25" s="125"/>
      <c r="D25" s="125"/>
      <c r="E25" s="125"/>
      <c r="F25" s="125"/>
      <c r="G25" s="138"/>
      <c r="I25" s="136"/>
      <c r="J25" s="125"/>
      <c r="K25" s="125" t="s">
        <v>84</v>
      </c>
      <c r="L25" s="125"/>
      <c r="M25" s="129"/>
      <c r="N25" s="125"/>
      <c r="O25" s="128"/>
      <c r="P25" s="138"/>
    </row>
    <row r="26" spans="2:16" ht="12.75">
      <c r="B26" s="136"/>
      <c r="C26" s="125"/>
      <c r="D26" s="125"/>
      <c r="E26" s="125"/>
      <c r="F26" s="125"/>
      <c r="G26" s="138"/>
      <c r="I26" s="136"/>
      <c r="J26" s="125"/>
      <c r="K26" s="125"/>
      <c r="L26" s="125" t="s">
        <v>86</v>
      </c>
      <c r="M26" s="125"/>
      <c r="N26" s="125"/>
      <c r="O26" s="130">
        <v>0.4</v>
      </c>
      <c r="P26" s="138"/>
    </row>
    <row r="27" spans="2:16" ht="12.75">
      <c r="B27" s="136"/>
      <c r="C27" s="125"/>
      <c r="D27" s="125"/>
      <c r="E27" s="125"/>
      <c r="F27" s="125"/>
      <c r="G27" s="138"/>
      <c r="I27" s="136"/>
      <c r="J27" s="125"/>
      <c r="K27" s="125"/>
      <c r="L27" s="125" t="s">
        <v>88</v>
      </c>
      <c r="M27" s="125"/>
      <c r="N27" s="125"/>
      <c r="O27" s="127">
        <v>0.5</v>
      </c>
      <c r="P27" s="138"/>
    </row>
    <row r="28" spans="2:16" ht="12.75">
      <c r="B28" s="136"/>
      <c r="C28" s="125"/>
      <c r="D28" s="125"/>
      <c r="E28" s="125"/>
      <c r="F28" s="125"/>
      <c r="G28" s="138"/>
      <c r="I28" s="136"/>
      <c r="J28" s="125"/>
      <c r="K28" s="125"/>
      <c r="L28" s="125" t="s">
        <v>87</v>
      </c>
      <c r="M28" s="125"/>
      <c r="N28" s="125"/>
      <c r="O28" s="127">
        <v>0.6</v>
      </c>
      <c r="P28" s="138"/>
    </row>
    <row r="29" spans="2:16" ht="12.75">
      <c r="B29" s="136"/>
      <c r="C29" s="125"/>
      <c r="D29" s="125"/>
      <c r="E29" s="125"/>
      <c r="F29" s="125"/>
      <c r="G29" s="138"/>
      <c r="I29" s="136"/>
      <c r="J29" s="125"/>
      <c r="K29" s="125"/>
      <c r="L29" s="125"/>
      <c r="M29" s="125"/>
      <c r="N29" s="125"/>
      <c r="O29" s="128"/>
      <c r="P29" s="138"/>
    </row>
    <row r="30" spans="2:16" ht="12.75">
      <c r="B30" s="136"/>
      <c r="C30" s="125"/>
      <c r="D30" s="125"/>
      <c r="E30" s="125"/>
      <c r="F30" s="125"/>
      <c r="G30" s="138"/>
      <c r="I30" s="136"/>
      <c r="J30" s="125"/>
      <c r="K30" s="125" t="s">
        <v>83</v>
      </c>
      <c r="L30" s="125"/>
      <c r="M30" s="129"/>
      <c r="N30" s="125"/>
      <c r="O30" s="128"/>
      <c r="P30" s="138"/>
    </row>
    <row r="31" spans="2:16" ht="12.75">
      <c r="B31" s="136"/>
      <c r="C31" s="125"/>
      <c r="D31" s="125"/>
      <c r="E31" s="125"/>
      <c r="F31" s="125"/>
      <c r="G31" s="138"/>
      <c r="I31" s="136"/>
      <c r="J31" s="125"/>
      <c r="K31" s="125"/>
      <c r="L31" s="125" t="s">
        <v>86</v>
      </c>
      <c r="M31" s="125"/>
      <c r="N31" s="125"/>
      <c r="O31" s="130">
        <v>0.4</v>
      </c>
      <c r="P31" s="138"/>
    </row>
    <row r="32" spans="2:16" ht="12.75">
      <c r="B32" s="136"/>
      <c r="C32" s="125"/>
      <c r="D32" s="125"/>
      <c r="E32" s="125"/>
      <c r="F32" s="125"/>
      <c r="G32" s="138"/>
      <c r="I32" s="136"/>
      <c r="J32" s="125"/>
      <c r="K32" s="125"/>
      <c r="L32" s="125" t="s">
        <v>88</v>
      </c>
      <c r="M32" s="125"/>
      <c r="N32" s="125"/>
      <c r="O32" s="127">
        <v>0.5</v>
      </c>
      <c r="P32" s="138"/>
    </row>
    <row r="33" spans="2:16" ht="12.75">
      <c r="B33" s="136"/>
      <c r="C33" s="125"/>
      <c r="D33" s="125"/>
      <c r="E33" s="125"/>
      <c r="F33" s="125"/>
      <c r="G33" s="138"/>
      <c r="I33" s="136"/>
      <c r="J33" s="125"/>
      <c r="K33" s="125"/>
      <c r="L33" s="125" t="s">
        <v>87</v>
      </c>
      <c r="M33" s="125"/>
      <c r="N33" s="125"/>
      <c r="O33" s="127">
        <v>0.6</v>
      </c>
      <c r="P33" s="138"/>
    </row>
    <row r="34" spans="2:16" ht="12.75">
      <c r="B34" s="136"/>
      <c r="C34" s="125"/>
      <c r="D34" s="125"/>
      <c r="E34" s="125"/>
      <c r="F34" s="125"/>
      <c r="G34" s="138"/>
      <c r="I34" s="136"/>
      <c r="J34" s="125"/>
      <c r="K34" s="125"/>
      <c r="L34" s="125"/>
      <c r="M34" s="129"/>
      <c r="N34" s="125"/>
      <c r="O34" s="128"/>
      <c r="P34" s="138"/>
    </row>
    <row r="35" spans="2:16" ht="12.75">
      <c r="B35" s="136"/>
      <c r="C35" s="125"/>
      <c r="D35" s="125"/>
      <c r="E35" s="125"/>
      <c r="F35" s="125"/>
      <c r="G35" s="138"/>
      <c r="I35" s="136"/>
      <c r="J35" s="125"/>
      <c r="K35" s="125" t="s">
        <v>85</v>
      </c>
      <c r="L35" s="125"/>
      <c r="M35" s="129"/>
      <c r="N35" s="125"/>
      <c r="O35" s="128"/>
      <c r="P35" s="138"/>
    </row>
    <row r="36" spans="2:16" ht="12.75">
      <c r="B36" s="136"/>
      <c r="C36" s="125"/>
      <c r="D36" s="125"/>
      <c r="E36" s="125"/>
      <c r="F36" s="125"/>
      <c r="G36" s="138"/>
      <c r="I36" s="136"/>
      <c r="J36" s="125"/>
      <c r="K36" s="125"/>
      <c r="L36" s="125" t="s">
        <v>86</v>
      </c>
      <c r="M36" s="125"/>
      <c r="N36" s="125"/>
      <c r="O36" s="127">
        <v>0.5</v>
      </c>
      <c r="P36" s="138"/>
    </row>
    <row r="37" spans="2:16" ht="12.75">
      <c r="B37" s="136"/>
      <c r="C37" s="125"/>
      <c r="D37" s="125"/>
      <c r="E37" s="125"/>
      <c r="F37" s="125"/>
      <c r="G37" s="138"/>
      <c r="I37" s="136"/>
      <c r="J37" s="125"/>
      <c r="K37" s="125"/>
      <c r="L37" s="125" t="s">
        <v>88</v>
      </c>
      <c r="M37" s="125"/>
      <c r="N37" s="125"/>
      <c r="O37" s="127">
        <v>0.6</v>
      </c>
      <c r="P37" s="138"/>
    </row>
    <row r="38" spans="2:16" ht="12.75">
      <c r="B38" s="136"/>
      <c r="C38" s="125"/>
      <c r="D38" s="125"/>
      <c r="E38" s="125"/>
      <c r="F38" s="125"/>
      <c r="G38" s="138"/>
      <c r="I38" s="136"/>
      <c r="J38" s="125"/>
      <c r="K38" s="125"/>
      <c r="L38" s="125" t="s">
        <v>87</v>
      </c>
      <c r="M38" s="125"/>
      <c r="N38" s="125"/>
      <c r="O38" s="127">
        <v>0.7</v>
      </c>
      <c r="P38" s="138"/>
    </row>
    <row r="39" spans="2:16" ht="12.75">
      <c r="B39" s="136"/>
      <c r="C39" s="125"/>
      <c r="D39" s="125"/>
      <c r="E39" s="125"/>
      <c r="F39" s="125"/>
      <c r="G39" s="138"/>
      <c r="I39" s="136"/>
      <c r="J39" s="125"/>
      <c r="K39" s="125"/>
      <c r="L39" s="125"/>
      <c r="M39" s="125"/>
      <c r="N39" s="125"/>
      <c r="O39" s="125"/>
      <c r="P39" s="138"/>
    </row>
    <row r="40" spans="2:16" ht="13.5" thickBot="1">
      <c r="B40" s="140"/>
      <c r="C40" s="109"/>
      <c r="D40" s="109"/>
      <c r="E40" s="109"/>
      <c r="F40" s="109"/>
      <c r="G40" s="110"/>
      <c r="I40" s="140"/>
      <c r="J40" s="109"/>
      <c r="K40" s="109"/>
      <c r="L40" s="109"/>
      <c r="M40" s="109"/>
      <c r="N40" s="109"/>
      <c r="O40" s="109"/>
      <c r="P40" s="110"/>
    </row>
    <row r="41" ht="13.5" thickTop="1"/>
  </sheetData>
  <sheetProtection password="CA31" sheet="1" formatRows="0"/>
  <mergeCells count="3">
    <mergeCell ref="J17:O17"/>
    <mergeCell ref="B17:F17"/>
    <mergeCell ref="A14:P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tabSelected="1" zoomScale="85" zoomScaleNormal="85" zoomScalePageLayoutView="0" workbookViewId="0" topLeftCell="A1">
      <selection activeCell="L74" sqref="L74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12.75">
      <c r="A1" s="55" t="s">
        <v>3</v>
      </c>
      <c r="B1" s="255" t="s">
        <v>188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s="55" customFormat="1" ht="21" customHeight="1">
      <c r="A2" s="55" t="s">
        <v>4</v>
      </c>
      <c r="B2" s="255" t="s">
        <v>187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3" s="56" customFormat="1" ht="12.75" hidden="1">
      <c r="A3" s="56" t="s">
        <v>5</v>
      </c>
      <c r="B3" s="256"/>
      <c r="C3" s="256"/>
    </row>
    <row r="4" spans="2:5" s="56" customFormat="1" ht="0.75" customHeight="1" hidden="1">
      <c r="B4" s="57"/>
      <c r="C4" s="57"/>
      <c r="E4" s="99"/>
    </row>
    <row r="5" spans="1:9" s="56" customFormat="1" ht="25.5" customHeight="1" hidden="1">
      <c r="A5" s="56" t="s">
        <v>2</v>
      </c>
      <c r="C5" s="155">
        <v>0.05</v>
      </c>
      <c r="F5" s="112" t="s">
        <v>101</v>
      </c>
      <c r="I5" s="105">
        <f>SUM('Typ žiadateľa'!M4:M5)</f>
        <v>0.95</v>
      </c>
    </row>
    <row r="6" spans="1:9" s="56" customFormat="1" ht="26.25" customHeight="1" hidden="1">
      <c r="A6" s="56" t="s">
        <v>67</v>
      </c>
      <c r="B6" s="59"/>
      <c r="C6" s="59">
        <f>NPV(C5,B55:AJ55)</f>
        <v>18280.95950667417</v>
      </c>
      <c r="F6" s="56" t="s">
        <v>59</v>
      </c>
      <c r="I6" s="105">
        <f>1-I5</f>
        <v>0.050000000000000044</v>
      </c>
    </row>
    <row r="7" spans="1:9" s="56" customFormat="1" ht="23.25" customHeight="1" hidden="1">
      <c r="A7" s="56" t="s">
        <v>1</v>
      </c>
      <c r="B7" s="59"/>
      <c r="C7" s="59">
        <f>NPV(C5,B48:AJ48)</f>
        <v>4586.68008571349</v>
      </c>
      <c r="F7" s="56" t="s">
        <v>99</v>
      </c>
      <c r="I7" s="113">
        <f>'Typ žiadateľa'!M9</f>
        <v>0.85</v>
      </c>
    </row>
    <row r="8" spans="1:9" s="56" customFormat="1" ht="21.75" customHeight="1" hidden="1">
      <c r="A8" s="56" t="s">
        <v>53</v>
      </c>
      <c r="C8" s="107">
        <f>IF(C6=0,0,(C6-C7)/C6)</f>
        <v>0.7491006922235703</v>
      </c>
      <c r="F8" s="56" t="s">
        <v>100</v>
      </c>
      <c r="I8" s="113">
        <f>'Typ žiadateľa'!M12</f>
        <v>0.1</v>
      </c>
    </row>
    <row r="9" spans="6:9" s="56" customFormat="1" ht="23.25" customHeight="1" hidden="1">
      <c r="F9" s="56" t="s">
        <v>103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33.75" customHeight="1" hidden="1">
      <c r="A10" s="56" t="s">
        <v>65</v>
      </c>
      <c r="B10" s="57"/>
      <c r="C10" s="58">
        <f>SUM(B36:I36)</f>
        <v>1780.249027237354</v>
      </c>
      <c r="D10" s="58"/>
      <c r="F10" s="56" t="s">
        <v>105</v>
      </c>
      <c r="I10" s="58" t="str">
        <f>IF('Typ žiadateľa'!$M$4=0,"áno","nie")</f>
        <v>nie</v>
      </c>
    </row>
    <row r="11" spans="1:3" s="56" customFormat="1" ht="24.75" customHeight="1" hidden="1">
      <c r="A11" s="56" t="s">
        <v>66</v>
      </c>
      <c r="B11" s="57"/>
      <c r="C11" s="58">
        <f>SUM(B35:I35)</f>
        <v>19762.841526745295</v>
      </c>
    </row>
    <row r="12" s="56" customFormat="1" ht="24.75" customHeight="1" hidden="1">
      <c r="C12" s="107"/>
    </row>
    <row r="13" s="56" customFormat="1" ht="31.5" customHeight="1" hidden="1"/>
    <row r="14" spans="1:12" s="56" customFormat="1" ht="19.5" customHeight="1" hidden="1">
      <c r="A14" s="99" t="s">
        <v>149</v>
      </c>
      <c r="B14" s="99">
        <f>B$28</f>
        <v>2010</v>
      </c>
      <c r="C14" s="99">
        <f aca="true" t="shared" si="0" ref="C14:I14">C$28</f>
        <v>2011</v>
      </c>
      <c r="D14" s="99">
        <f t="shared" si="0"/>
        <v>2012</v>
      </c>
      <c r="E14" s="99">
        <f t="shared" si="0"/>
        <v>2013</v>
      </c>
      <c r="F14" s="99">
        <f t="shared" si="0"/>
        <v>2014</v>
      </c>
      <c r="G14" s="99">
        <f t="shared" si="0"/>
        <v>2015</v>
      </c>
      <c r="H14" s="99">
        <f t="shared" si="0"/>
        <v>2016</v>
      </c>
      <c r="I14" s="99">
        <f t="shared" si="0"/>
        <v>2017</v>
      </c>
      <c r="J14" s="259" t="s">
        <v>35</v>
      </c>
      <c r="K14" s="259"/>
      <c r="L14" s="106" t="s">
        <v>93</v>
      </c>
    </row>
    <row r="15" spans="1:12" s="56" customFormat="1" ht="26.25" customHeight="1" hidden="1">
      <c r="A15" s="99"/>
      <c r="B15" s="99"/>
      <c r="C15" s="99"/>
      <c r="D15" s="99"/>
      <c r="E15" s="99"/>
      <c r="F15" s="99"/>
      <c r="G15" s="99"/>
      <c r="H15" s="99"/>
      <c r="I15" s="99"/>
      <c r="J15" s="260" t="s">
        <v>134</v>
      </c>
      <c r="K15" s="260"/>
      <c r="L15" s="106"/>
    </row>
    <row r="16" spans="1:12" s="56" customFormat="1" ht="25.5" customHeight="1" hidden="1">
      <c r="A16" s="114" t="s">
        <v>98</v>
      </c>
      <c r="B16" s="114">
        <f>'Investičné výdavky'!C14/1000*IF($I$10="áno",1,$C$8)</f>
        <v>6052.733593166448</v>
      </c>
      <c r="C16" s="114">
        <f>'Investičné výdavky'!C15/1000*IF($I$10="áno",1,$C$8)</f>
        <v>6052.733593166448</v>
      </c>
      <c r="D16" s="114">
        <f>'Investičné výdavky'!C16/1000*IF($I$10="áno",1,$C$8)</f>
        <v>3026.366796583224</v>
      </c>
      <c r="E16" s="114">
        <f>'Investičné výdavky'!C17/1000*IF($I$10="áno",1,$C$8)</f>
        <v>0</v>
      </c>
      <c r="F16" s="114">
        <f>'Investičné výdavky'!C18/1000*IF($I$10="áno",1,$C$8)</f>
        <v>0</v>
      </c>
      <c r="G16" s="114">
        <f>'Investičné výdavky'!C19/1000*IF($I$10="áno",1,$C$8)</f>
        <v>0</v>
      </c>
      <c r="H16" s="114">
        <f>'Investičné výdavky'!C20/1000*IF($I$10="áno",1,$C$8)</f>
        <v>0</v>
      </c>
      <c r="I16" s="114">
        <f>'Investičné výdavky'!C21/1000*IF($I$10="áno",1,$C$8)</f>
        <v>0</v>
      </c>
      <c r="J16" s="258">
        <f>SUM(B16:I16)</f>
        <v>15131.833982916121</v>
      </c>
      <c r="K16" s="258"/>
      <c r="L16" s="116">
        <f>SUM(L19:L21)</f>
        <v>0.9999999999999999</v>
      </c>
    </row>
    <row r="17" spans="1:12" s="56" customFormat="1" ht="29.25" customHeight="1" hidden="1">
      <c r="A17" s="117" t="s">
        <v>102</v>
      </c>
      <c r="B17" s="118">
        <f aca="true" t="shared" si="1" ref="B17:I17">B16*$I$5</f>
        <v>5750.096913508126</v>
      </c>
      <c r="C17" s="118">
        <f t="shared" si="1"/>
        <v>5750.096913508126</v>
      </c>
      <c r="D17" s="118">
        <f t="shared" si="1"/>
        <v>2875.048456754063</v>
      </c>
      <c r="E17" s="118">
        <f t="shared" si="1"/>
        <v>0</v>
      </c>
      <c r="F17" s="118">
        <f t="shared" si="1"/>
        <v>0</v>
      </c>
      <c r="G17" s="118">
        <f t="shared" si="1"/>
        <v>0</v>
      </c>
      <c r="H17" s="118">
        <f t="shared" si="1"/>
        <v>0</v>
      </c>
      <c r="I17" s="118">
        <f t="shared" si="1"/>
        <v>0</v>
      </c>
      <c r="J17" s="247">
        <f>SUM(B17:I17)</f>
        <v>14375.242283770314</v>
      </c>
      <c r="K17" s="247"/>
      <c r="L17" s="120"/>
    </row>
    <row r="18" spans="1:12" s="56" customFormat="1" ht="31.5" customHeight="1" hidden="1">
      <c r="A18" s="112"/>
      <c r="B18" s="59"/>
      <c r="C18" s="59"/>
      <c r="D18" s="59"/>
      <c r="E18" s="59"/>
      <c r="F18" s="59"/>
      <c r="G18" s="59"/>
      <c r="H18" s="59"/>
      <c r="I18" s="59"/>
      <c r="J18" s="187"/>
      <c r="K18" s="187"/>
      <c r="L18" s="105"/>
    </row>
    <row r="19" spans="1:12" s="56" customFormat="1" ht="24.75" customHeight="1" hidden="1">
      <c r="A19" s="115" t="s">
        <v>95</v>
      </c>
      <c r="B19" s="115">
        <f>IF($I$10="nie",B16*$I$7,B17*$I$7)</f>
        <v>5144.823554191481</v>
      </c>
      <c r="C19" s="115">
        <f aca="true" t="shared" si="2" ref="C19:I19">IF($I$10="nie",C16*$I$7,C17*$I$7)</f>
        <v>5144.823554191481</v>
      </c>
      <c r="D19" s="115">
        <f t="shared" si="2"/>
        <v>2572.4117770957405</v>
      </c>
      <c r="E19" s="115">
        <f t="shared" si="2"/>
        <v>0</v>
      </c>
      <c r="F19" s="115">
        <f t="shared" si="2"/>
        <v>0</v>
      </c>
      <c r="G19" s="115">
        <f t="shared" si="2"/>
        <v>0</v>
      </c>
      <c r="H19" s="115">
        <f t="shared" si="2"/>
        <v>0</v>
      </c>
      <c r="I19" s="115">
        <f t="shared" si="2"/>
        <v>0</v>
      </c>
      <c r="J19" s="258">
        <f>SUM(B19:I19)</f>
        <v>12862.058885478702</v>
      </c>
      <c r="K19" s="258"/>
      <c r="L19" s="121">
        <f>J19/J$16</f>
        <v>0.8499999999999999</v>
      </c>
    </row>
    <row r="20" spans="1:12" s="56" customFormat="1" ht="21.75" customHeight="1" hidden="1">
      <c r="A20" s="74" t="s">
        <v>96</v>
      </c>
      <c r="B20" s="74">
        <f>IF($I$10="nie",B16*$I$8,B17*$I$8)</f>
        <v>605.2733593166448</v>
      </c>
      <c r="C20" s="74">
        <f aca="true" t="shared" si="3" ref="C20:I20">IF($I$10="nie",C16*$I$8,C17*$I$8)</f>
        <v>605.2733593166448</v>
      </c>
      <c r="D20" s="74">
        <f t="shared" si="3"/>
        <v>302.6366796583224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57">
        <f>SUM(B20:I20)</f>
        <v>1513.183398291612</v>
      </c>
      <c r="K20" s="257"/>
      <c r="L20" s="122">
        <f>J20/J$16</f>
        <v>0.09999999999999999</v>
      </c>
    </row>
    <row r="21" spans="1:12" s="56" customFormat="1" ht="30.75" customHeight="1" hidden="1">
      <c r="A21" s="119" t="s">
        <v>97</v>
      </c>
      <c r="B21" s="119">
        <f>B16*$I$6</f>
        <v>302.6366796583227</v>
      </c>
      <c r="C21" s="119">
        <f aca="true" t="shared" si="4" ref="C21:I21">C16*$I$6</f>
        <v>302.6366796583227</v>
      </c>
      <c r="D21" s="119">
        <f t="shared" si="4"/>
        <v>151.31833982916135</v>
      </c>
      <c r="E21" s="119">
        <f t="shared" si="4"/>
        <v>0</v>
      </c>
      <c r="F21" s="119">
        <f t="shared" si="4"/>
        <v>0</v>
      </c>
      <c r="G21" s="119">
        <f t="shared" si="4"/>
        <v>0</v>
      </c>
      <c r="H21" s="119">
        <f t="shared" si="4"/>
        <v>0</v>
      </c>
      <c r="I21" s="119">
        <f t="shared" si="4"/>
        <v>0</v>
      </c>
      <c r="J21" s="247">
        <f>SUM(B21:I21)</f>
        <v>756.5916991458067</v>
      </c>
      <c r="K21" s="247"/>
      <c r="L21" s="123">
        <f>J21/J$16</f>
        <v>0.050000000000000044</v>
      </c>
    </row>
    <row r="22" s="56" customFormat="1" ht="21" customHeight="1" hidden="1">
      <c r="K22" s="105"/>
    </row>
    <row r="23" s="56" customFormat="1" ht="23.25" customHeight="1" hidden="1">
      <c r="C23" s="60"/>
    </row>
    <row r="24" spans="1:4" ht="16.5" customHeight="1">
      <c r="A24" s="61" t="s">
        <v>132</v>
      </c>
      <c r="C24" s="156">
        <f>IF(I10="áno",I5,I5*MAX(MIN(C8,1),0))</f>
        <v>0.7116456576123918</v>
      </c>
      <c r="D24" s="62"/>
    </row>
    <row r="25" spans="4:6" ht="12.75">
      <c r="D25" s="63"/>
      <c r="F25" s="63"/>
    </row>
    <row r="26" spans="1:6" ht="12.75">
      <c r="A26" s="64" t="s">
        <v>57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6">
        <v>2010</v>
      </c>
      <c r="C28" s="68">
        <f>B28+1</f>
        <v>2011</v>
      </c>
      <c r="D28" s="68">
        <f aca="true" t="shared" si="5" ref="D28:AG28">C28+1</f>
        <v>2012</v>
      </c>
      <c r="E28" s="68">
        <f t="shared" si="5"/>
        <v>2013</v>
      </c>
      <c r="F28" s="68">
        <f t="shared" si="5"/>
        <v>2014</v>
      </c>
      <c r="G28" s="68">
        <f t="shared" si="5"/>
        <v>2015</v>
      </c>
      <c r="H28" s="68">
        <f t="shared" si="5"/>
        <v>2016</v>
      </c>
      <c r="I28" s="68">
        <f t="shared" si="5"/>
        <v>2017</v>
      </c>
      <c r="J28" s="68">
        <f t="shared" si="5"/>
        <v>2018</v>
      </c>
      <c r="K28" s="68">
        <f t="shared" si="5"/>
        <v>2019</v>
      </c>
      <c r="L28" s="68">
        <f t="shared" si="5"/>
        <v>2020</v>
      </c>
      <c r="M28" s="68">
        <f t="shared" si="5"/>
        <v>2021</v>
      </c>
      <c r="N28" s="68">
        <f t="shared" si="5"/>
        <v>2022</v>
      </c>
      <c r="O28" s="68">
        <f t="shared" si="5"/>
        <v>2023</v>
      </c>
      <c r="P28" s="68">
        <f t="shared" si="5"/>
        <v>2024</v>
      </c>
      <c r="Q28" s="68">
        <f t="shared" si="5"/>
        <v>2025</v>
      </c>
      <c r="R28" s="68">
        <f t="shared" si="5"/>
        <v>2026</v>
      </c>
      <c r="S28" s="68">
        <f t="shared" si="5"/>
        <v>2027</v>
      </c>
      <c r="T28" s="68">
        <f t="shared" si="5"/>
        <v>2028</v>
      </c>
      <c r="U28" s="68">
        <f t="shared" si="5"/>
        <v>2029</v>
      </c>
      <c r="V28" s="68">
        <f t="shared" si="5"/>
        <v>2030</v>
      </c>
      <c r="W28" s="68">
        <f t="shared" si="5"/>
        <v>2031</v>
      </c>
      <c r="X28" s="68">
        <f t="shared" si="5"/>
        <v>2032</v>
      </c>
      <c r="Y28" s="68">
        <f t="shared" si="5"/>
        <v>2033</v>
      </c>
      <c r="Z28" s="68">
        <f t="shared" si="5"/>
        <v>2034</v>
      </c>
      <c r="AA28" s="68">
        <f t="shared" si="5"/>
        <v>2035</v>
      </c>
      <c r="AB28" s="68">
        <f t="shared" si="5"/>
        <v>2036</v>
      </c>
      <c r="AC28" s="68">
        <f t="shared" si="5"/>
        <v>2037</v>
      </c>
      <c r="AD28" s="68">
        <f t="shared" si="5"/>
        <v>2038</v>
      </c>
      <c r="AE28" s="68">
        <f t="shared" si="5"/>
        <v>2039</v>
      </c>
      <c r="AF28" s="68">
        <f t="shared" si="5"/>
        <v>2040</v>
      </c>
      <c r="AG28" s="68">
        <f t="shared" si="5"/>
        <v>2041</v>
      </c>
      <c r="AH28" s="68">
        <f>AG28+1</f>
        <v>2042</v>
      </c>
      <c r="AI28" s="68">
        <f>AH28+1</f>
        <v>2043</v>
      </c>
      <c r="AJ28" s="68">
        <f>AI28+1</f>
        <v>2044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59</v>
      </c>
      <c r="B30" s="72">
        <f aca="true" t="shared" si="6" ref="B30:I30">B35+B36-B31</f>
        <v>3761.903086491874</v>
      </c>
      <c r="C30" s="72">
        <f t="shared" si="6"/>
        <v>2614.6917183773094</v>
      </c>
      <c r="D30" s="72">
        <f t="shared" si="6"/>
        <v>1102.3553945233243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52</v>
      </c>
      <c r="B31" s="72">
        <f>B35*$C$24</f>
        <v>5750.096913508126</v>
      </c>
      <c r="C31" s="72">
        <f aca="true" t="shared" si="7" ref="C31:I31">C35*$C$24</f>
        <v>5593.479487848372</v>
      </c>
      <c r="D31" s="72">
        <f t="shared" si="7"/>
        <v>2720.563953233644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106</v>
      </c>
      <c r="B32" s="72">
        <f>'Príjmy z prevádzky'!D37/1000</f>
        <v>0</v>
      </c>
      <c r="C32" s="72">
        <f>'Príjmy z prevádzky'!E37/1000</f>
        <v>0</v>
      </c>
      <c r="D32" s="72">
        <f>'Príjmy z prevádzky'!F37/1000</f>
        <v>477.042431049</v>
      </c>
      <c r="E32" s="72">
        <f>'Príjmy z prevádzky'!G37/1000</f>
        <v>909.139540994784</v>
      </c>
      <c r="F32" s="72">
        <f>'Príjmy z prevádzky'!H37/1000</f>
        <v>947.5184403235628</v>
      </c>
      <c r="G32" s="72">
        <f>'Príjmy z prevádzky'!I37/1000</f>
        <v>974.6073413502153</v>
      </c>
      <c r="H32" s="72">
        <f>'Príjmy z prevádzky'!J37/1000</f>
        <v>978.2987707156161</v>
      </c>
      <c r="I32" s="72">
        <f>'Príjmy z prevádzky'!K37/1000</f>
        <v>979.2253194863316</v>
      </c>
      <c r="J32" s="72">
        <f>'Príjmy z prevádzky'!L37/1000</f>
        <v>979.2253194863316</v>
      </c>
      <c r="K32" s="72">
        <f>'Príjmy z prevádzky'!M37/1000</f>
        <v>979.2253194863316</v>
      </c>
      <c r="L32" s="72">
        <f>'Príjmy z prevádzky'!N37/1000</f>
        <v>979.2253194863316</v>
      </c>
      <c r="M32" s="72">
        <f>'Príjmy z prevádzky'!O37/1000</f>
        <v>979.2253194863316</v>
      </c>
      <c r="N32" s="72">
        <f>'Príjmy z prevádzky'!P37/1000</f>
        <v>979.2253194863316</v>
      </c>
      <c r="O32" s="72">
        <f>'Príjmy z prevádzky'!Q37/1000</f>
        <v>979.2253194863316</v>
      </c>
      <c r="P32" s="72">
        <f>'Príjmy z prevádzky'!R37/1000</f>
        <v>979.2253194863316</v>
      </c>
      <c r="Q32" s="72">
        <f>'Príjmy z prevádzky'!S37/1000</f>
        <v>979.2253194863316</v>
      </c>
      <c r="R32" s="72">
        <f>'Príjmy z prevádzky'!T37/1000</f>
        <v>979.2253194863316</v>
      </c>
      <c r="S32" s="72">
        <f>'Príjmy z prevádzky'!U37/1000</f>
        <v>979.2253194863316</v>
      </c>
      <c r="T32" s="72">
        <f>'Príjmy z prevádzky'!V37/1000</f>
        <v>979.2253194863316</v>
      </c>
      <c r="U32" s="72">
        <f>'Príjmy z prevádzky'!W37/1000</f>
        <v>979.2253194863316</v>
      </c>
      <c r="V32" s="72">
        <f>'Príjmy z prevádzky'!X37/1000</f>
        <v>979.2253194863316</v>
      </c>
      <c r="W32" s="72">
        <f>'Príjmy z prevádzky'!Y37/1000</f>
        <v>979.2253194863316</v>
      </c>
      <c r="X32" s="72">
        <f>'Príjmy z prevádzky'!Z37/1000</f>
        <v>979.2253194863316</v>
      </c>
      <c r="Y32" s="72">
        <f>'Príjmy z prevádzky'!AA37/1000</f>
        <v>979.2253194863316</v>
      </c>
      <c r="Z32" s="72">
        <f>'Príjmy z prevádzky'!AB37/1000</f>
        <v>979.2253194863316</v>
      </c>
      <c r="AA32" s="72">
        <f>'Príjmy z prevádzky'!AC37/1000</f>
        <v>979.2253194863316</v>
      </c>
      <c r="AB32" s="72">
        <f>'Príjmy z prevádzky'!AD37/1000</f>
        <v>979.2253194863316</v>
      </c>
      <c r="AC32" s="72">
        <f>'Príjmy z prevádzky'!AE37/1000</f>
        <v>979.2253194863316</v>
      </c>
      <c r="AD32" s="72">
        <f>'Príjmy z prevádzky'!AF37/1000</f>
        <v>979.2253194863316</v>
      </c>
      <c r="AE32" s="72">
        <f>'Príjmy z prevádzky'!AG37/1000</f>
        <v>979.2253194863316</v>
      </c>
      <c r="AF32" s="72">
        <f>'Príjmy z prevádzky'!AH37/1000</f>
        <v>979.2253194863316</v>
      </c>
      <c r="AG32" s="72">
        <f>'Príjmy z prevádzky'!AI37/1000</f>
        <v>979.2253194863316</v>
      </c>
      <c r="AH32" s="72">
        <f>'Príjmy z prevádzky'!AJ37/1000</f>
        <v>0</v>
      </c>
      <c r="AI32" s="72">
        <f>'Príjmy z prevádzky'!AK37/1000</f>
        <v>0</v>
      </c>
      <c r="AJ32" s="72">
        <f>'Príjmy z prevádzky'!AL37/1000</f>
        <v>0</v>
      </c>
    </row>
    <row r="33" spans="1:36" ht="12.75">
      <c r="A33" s="73" t="s">
        <v>9</v>
      </c>
      <c r="B33" s="72">
        <f>SUM(B30:B32)</f>
        <v>9512</v>
      </c>
      <c r="C33" s="72">
        <f aca="true" t="shared" si="8" ref="C33:AJ33">SUM(C30:C32)</f>
        <v>8208.171206225681</v>
      </c>
      <c r="D33" s="72">
        <f t="shared" si="8"/>
        <v>4299.961778805969</v>
      </c>
      <c r="E33" s="72">
        <f t="shared" si="8"/>
        <v>909.139540994784</v>
      </c>
      <c r="F33" s="72">
        <f>SUM(F30:F32)</f>
        <v>947.5184403235628</v>
      </c>
      <c r="G33" s="72">
        <f t="shared" si="8"/>
        <v>974.6073413502153</v>
      </c>
      <c r="H33" s="72">
        <f t="shared" si="8"/>
        <v>978.2987707156161</v>
      </c>
      <c r="I33" s="72">
        <f t="shared" si="8"/>
        <v>979.2253194863316</v>
      </c>
      <c r="J33" s="72">
        <f>SUM(J30:J32)</f>
        <v>979.2253194863316</v>
      </c>
      <c r="K33" s="72">
        <f t="shared" si="8"/>
        <v>979.2253194863316</v>
      </c>
      <c r="L33" s="72">
        <f t="shared" si="8"/>
        <v>979.2253194863316</v>
      </c>
      <c r="M33" s="72">
        <f t="shared" si="8"/>
        <v>979.2253194863316</v>
      </c>
      <c r="N33" s="72">
        <f t="shared" si="8"/>
        <v>979.2253194863316</v>
      </c>
      <c r="O33" s="72">
        <f t="shared" si="8"/>
        <v>979.2253194863316</v>
      </c>
      <c r="P33" s="72">
        <f t="shared" si="8"/>
        <v>979.2253194863316</v>
      </c>
      <c r="Q33" s="72">
        <f t="shared" si="8"/>
        <v>979.2253194863316</v>
      </c>
      <c r="R33" s="72">
        <f t="shared" si="8"/>
        <v>979.2253194863316</v>
      </c>
      <c r="S33" s="72">
        <f t="shared" si="8"/>
        <v>979.2253194863316</v>
      </c>
      <c r="T33" s="72">
        <f t="shared" si="8"/>
        <v>979.2253194863316</v>
      </c>
      <c r="U33" s="72">
        <f t="shared" si="8"/>
        <v>979.2253194863316</v>
      </c>
      <c r="V33" s="72">
        <f t="shared" si="8"/>
        <v>979.2253194863316</v>
      </c>
      <c r="W33" s="72">
        <f t="shared" si="8"/>
        <v>979.2253194863316</v>
      </c>
      <c r="X33" s="72">
        <f t="shared" si="8"/>
        <v>979.2253194863316</v>
      </c>
      <c r="Y33" s="72">
        <f t="shared" si="8"/>
        <v>979.2253194863316</v>
      </c>
      <c r="Z33" s="72">
        <f t="shared" si="8"/>
        <v>979.2253194863316</v>
      </c>
      <c r="AA33" s="72">
        <f t="shared" si="8"/>
        <v>979.2253194863316</v>
      </c>
      <c r="AB33" s="72">
        <f t="shared" si="8"/>
        <v>979.2253194863316</v>
      </c>
      <c r="AC33" s="72">
        <f t="shared" si="8"/>
        <v>979.2253194863316</v>
      </c>
      <c r="AD33" s="72">
        <f t="shared" si="8"/>
        <v>979.2253194863316</v>
      </c>
      <c r="AE33" s="72">
        <f t="shared" si="8"/>
        <v>979.2253194863316</v>
      </c>
      <c r="AF33" s="72">
        <f t="shared" si="8"/>
        <v>979.2253194863316</v>
      </c>
      <c r="AG33" s="72">
        <f t="shared" si="8"/>
        <v>979.2253194863316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123</v>
      </c>
      <c r="B35" s="72">
        <f>'Investičné výdavky'!C41/1000</f>
        <v>8080</v>
      </c>
      <c r="C35" s="72">
        <f>'Investičné výdavky'!C42/1000</f>
        <v>7859.922178988327</v>
      </c>
      <c r="D35" s="72">
        <f>'Investičné výdavky'!C43/1000</f>
        <v>3822.9193477569684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1432</v>
      </c>
      <c r="C36" s="72">
        <f>'Investičné výdavky'!D42/1000</f>
        <v>348.2490272373541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1500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107</v>
      </c>
      <c r="B38" s="72">
        <f>'Výdavky na prevádzku'!D80/1000</f>
        <v>0</v>
      </c>
      <c r="C38" s="72">
        <f>'Výdavky na prevádzku'!E80/1000</f>
        <v>0</v>
      </c>
      <c r="D38" s="72">
        <f>'Výdavky na prevádzku'!F80/1000</f>
        <v>501.5672069131137</v>
      </c>
      <c r="E38" s="72">
        <f>'Výdavky na prevádzku'!G80/1000</f>
        <v>563.5820730691138</v>
      </c>
      <c r="F38" s="72">
        <f>'Výdavky na prevádzku'!H80/1000</f>
        <v>565.6795473405278</v>
      </c>
      <c r="G38" s="72">
        <f>'Výdavky na prevádzku'!I80/1000</f>
        <v>567.1600033707425</v>
      </c>
      <c r="H38" s="72">
        <f>'Výdavky na prevádzku'!J80/1000</f>
        <v>567.361746470573</v>
      </c>
      <c r="I38" s="72">
        <f>'Výdavky na prevádzku'!K80/1000</f>
        <v>569.4123839886305</v>
      </c>
      <c r="J38" s="72">
        <f>'Výdavky na prevádzku'!L80/1000</f>
        <v>569.4123839886305</v>
      </c>
      <c r="K38" s="72">
        <f>'Výdavky na prevádzku'!M80/1000</f>
        <v>569.4123839886305</v>
      </c>
      <c r="L38" s="72">
        <f>'Výdavky na prevádzku'!N80/1000</f>
        <v>569.4123839886305</v>
      </c>
      <c r="M38" s="72">
        <f>'Výdavky na prevádzku'!O80/1000</f>
        <v>569.4123839886305</v>
      </c>
      <c r="N38" s="72">
        <f>'Výdavky na prevádzku'!P80/1000</f>
        <v>572.4123839886305</v>
      </c>
      <c r="O38" s="72">
        <f>'Výdavky na prevádzku'!Q80/1000</f>
        <v>572.4123839886305</v>
      </c>
      <c r="P38" s="72">
        <f>'Výdavky na prevádzku'!R80/1000</f>
        <v>572.4123839886305</v>
      </c>
      <c r="Q38" s="72">
        <f>'Výdavky na prevádzku'!S80/1000</f>
        <v>572.4123839886305</v>
      </c>
      <c r="R38" s="72">
        <f>'Výdavky na prevádzku'!T80/1000</f>
        <v>572.4123839886305</v>
      </c>
      <c r="S38" s="72">
        <f>'Výdavky na prevádzku'!U80/1000</f>
        <v>572.4123839886305</v>
      </c>
      <c r="T38" s="72">
        <f>'Výdavky na prevádzku'!V80/1000</f>
        <v>572.4123839886305</v>
      </c>
      <c r="U38" s="72">
        <f>'Výdavky na prevádzku'!W80/1000</f>
        <v>572.4123839886305</v>
      </c>
      <c r="V38" s="72">
        <f>'Výdavky na prevádzku'!X80/1000</f>
        <v>572.4123839886305</v>
      </c>
      <c r="W38" s="72">
        <f>'Výdavky na prevádzku'!Y80/1000</f>
        <v>572.4123839886305</v>
      </c>
      <c r="X38" s="72">
        <f>'Výdavky na prevádzku'!Z80/1000</f>
        <v>572.4123839886305</v>
      </c>
      <c r="Y38" s="72">
        <f>'Výdavky na prevádzku'!AA80/1000</f>
        <v>572.4123839886305</v>
      </c>
      <c r="Z38" s="72">
        <f>'Výdavky na prevádzku'!AB80/1000</f>
        <v>572.4123839886305</v>
      </c>
      <c r="AA38" s="72">
        <f>'Výdavky na prevádzku'!AC80/1000</f>
        <v>572.4123839886305</v>
      </c>
      <c r="AB38" s="72">
        <f>'Výdavky na prevádzku'!AD80/1000</f>
        <v>572.4123839886305</v>
      </c>
      <c r="AC38" s="72">
        <f>'Výdavky na prevádzku'!AE80/1000</f>
        <v>572.4123839886305</v>
      </c>
      <c r="AD38" s="72">
        <f>'Výdavky na prevádzku'!AF80/1000</f>
        <v>572.4123839886305</v>
      </c>
      <c r="AE38" s="72">
        <f>'Výdavky na prevádzku'!AG80/1000</f>
        <v>572.4123839886305</v>
      </c>
      <c r="AF38" s="72">
        <f>'Výdavky na prevádzku'!AH80/1000</f>
        <v>572.4123839886305</v>
      </c>
      <c r="AG38" s="72">
        <f>'Výdavky na prevádzku'!AI80/1000</f>
        <v>572.4123839886305</v>
      </c>
      <c r="AH38" s="72">
        <f>'Výdavky na prevádzku'!AJ80/1000</f>
        <v>0</v>
      </c>
      <c r="AI38" s="72">
        <f>'Výdavky na prevádzku'!AK80/1000</f>
        <v>0</v>
      </c>
      <c r="AJ38" s="72">
        <f>'Výdavky na prevádzku'!AL80/1000</f>
        <v>0</v>
      </c>
    </row>
    <row r="39" spans="1:36" ht="12.75">
      <c r="A39" s="72" t="s">
        <v>54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200</v>
      </c>
      <c r="F39" s="72">
        <f>IF(Úver!F11=0,Úver!F13,Úver!F11)</f>
        <v>200</v>
      </c>
      <c r="G39" s="72">
        <f>IF(Úver!G11=0,Úver!G13,Úver!G11)</f>
        <v>200</v>
      </c>
      <c r="H39" s="72">
        <f>IF(Úver!H11=0,Úver!H13,Úver!H11)</f>
        <v>200</v>
      </c>
      <c r="I39" s="72">
        <f>IF(Úver!I11=0,Úver!I13,Úver!I11)</f>
        <v>200</v>
      </c>
      <c r="J39" s="72">
        <f>IF(Úver!J11=0,Úver!J13,Úver!J11)</f>
        <v>200</v>
      </c>
      <c r="K39" s="72">
        <f>IF(Úver!K11=0,Úver!K13,Úver!K11)</f>
        <v>200</v>
      </c>
      <c r="L39" s="72">
        <f>IF(Úver!L11=0,Úver!L13,Úver!L11)</f>
        <v>200</v>
      </c>
      <c r="M39" s="72">
        <f>IF(Úver!M11=0,Úver!M13,Úver!M11)</f>
        <v>200</v>
      </c>
      <c r="N39" s="72">
        <f>IF(Úver!N11=0,Úver!N13,Úver!N11)</f>
        <v>200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55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140</v>
      </c>
      <c r="F40" s="72">
        <f>Úver!F12</f>
        <v>140</v>
      </c>
      <c r="G40" s="72">
        <f>Úver!G12</f>
        <v>140</v>
      </c>
      <c r="H40" s="72">
        <f>Úver!H12</f>
        <v>140</v>
      </c>
      <c r="I40" s="72">
        <f>Úver!I12</f>
        <v>140</v>
      </c>
      <c r="J40" s="72">
        <f>Úver!J12</f>
        <v>140</v>
      </c>
      <c r="K40" s="72">
        <f>Úver!K12</f>
        <v>140</v>
      </c>
      <c r="L40" s="72">
        <f>Úver!L12</f>
        <v>140</v>
      </c>
      <c r="M40" s="72">
        <f>Úver!M12</f>
        <v>140</v>
      </c>
      <c r="N40" s="72">
        <f>Úver!N12</f>
        <v>140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2.75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5.4637174420840555</v>
      </c>
      <c r="Q41" s="72">
        <f t="shared" si="9"/>
        <v>5.4637174420840555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52.200435356610036</v>
      </c>
      <c r="Y41" s="72">
        <f t="shared" si="9"/>
        <v>68.30662737638514</v>
      </c>
      <c r="Z41" s="72">
        <f t="shared" si="9"/>
        <v>68.30662737638514</v>
      </c>
      <c r="AA41" s="72">
        <f t="shared" si="9"/>
        <v>68.30662737638514</v>
      </c>
      <c r="AB41" s="72">
        <f t="shared" si="9"/>
        <v>68.30662737638514</v>
      </c>
      <c r="AC41" s="72">
        <f t="shared" si="9"/>
        <v>68.30662737638514</v>
      </c>
      <c r="AD41" s="72">
        <f t="shared" si="9"/>
        <v>77.29445774456322</v>
      </c>
      <c r="AE41" s="72">
        <f t="shared" si="9"/>
        <v>77.29445774456322</v>
      </c>
      <c r="AF41" s="72">
        <f t="shared" si="9"/>
        <v>77.29445774456322</v>
      </c>
      <c r="AG41" s="72">
        <f t="shared" si="9"/>
        <v>77.29445774456322</v>
      </c>
      <c r="AH41" s="72">
        <f t="shared" si="9"/>
        <v>77.29445774456322</v>
      </c>
      <c r="AI41" s="72">
        <f t="shared" si="9"/>
        <v>0</v>
      </c>
      <c r="AJ41" s="72">
        <f t="shared" si="9"/>
        <v>0</v>
      </c>
    </row>
    <row r="42" spans="1:36" s="56" customFormat="1" ht="12.75" hidden="1">
      <c r="A42" s="74" t="s">
        <v>148</v>
      </c>
      <c r="B42" s="74">
        <f aca="true" t="shared" si="10" ref="B42:AJ42">(B32-B38-B40-B57*(IF(SUM($B35:$I35)&gt;0,SUM($B30:$I30)/SUM($B35:$I35),0)))*0.19</f>
        <v>0</v>
      </c>
      <c r="C42" s="74">
        <f t="shared" si="10"/>
        <v>-64.71237865088213</v>
      </c>
      <c r="D42" s="74">
        <f t="shared" si="10"/>
        <v>-85.47827808483883</v>
      </c>
      <c r="E42" s="74">
        <f t="shared" si="10"/>
        <v>-41.76265176477988</v>
      </c>
      <c r="F42" s="74">
        <f t="shared" si="10"/>
        <v>-34.86918100388059</v>
      </c>
      <c r="G42" s="74">
        <f t="shared" si="10"/>
        <v>-30.00357645455741</v>
      </c>
      <c r="H42" s="74">
        <f t="shared" si="10"/>
        <v>-29.340536064099055</v>
      </c>
      <c r="I42" s="74">
        <f t="shared" si="10"/>
        <v>-29.554112926094025</v>
      </c>
      <c r="J42" s="74">
        <f t="shared" si="10"/>
        <v>-29.554112926094025</v>
      </c>
      <c r="K42" s="74">
        <f t="shared" si="10"/>
        <v>-29.554112926094025</v>
      </c>
      <c r="L42" s="74">
        <f t="shared" si="10"/>
        <v>-29.554112926094025</v>
      </c>
      <c r="M42" s="74">
        <f t="shared" si="10"/>
        <v>-29.554112926094025</v>
      </c>
      <c r="N42" s="74">
        <f t="shared" si="10"/>
        <v>-30.12411292609402</v>
      </c>
      <c r="O42" s="74">
        <f t="shared" si="10"/>
        <v>5.4637174420840555</v>
      </c>
      <c r="P42" s="74">
        <f t="shared" si="10"/>
        <v>5.4637174420840555</v>
      </c>
      <c r="Q42" s="74">
        <f t="shared" si="10"/>
        <v>-3.5241129260940225</v>
      </c>
      <c r="R42" s="74">
        <f t="shared" si="10"/>
        <v>-3.5241129260940225</v>
      </c>
      <c r="S42" s="74">
        <f t="shared" si="10"/>
        <v>-3.5241129260940225</v>
      </c>
      <c r="T42" s="74">
        <f t="shared" si="10"/>
        <v>-3.5241129260940225</v>
      </c>
      <c r="U42" s="74">
        <f t="shared" si="10"/>
        <v>-3.5241129260940225</v>
      </c>
      <c r="V42" s="74">
        <f t="shared" si="10"/>
        <v>-3.5241129260940225</v>
      </c>
      <c r="W42" s="74">
        <f t="shared" si="10"/>
        <v>52.200435356610036</v>
      </c>
      <c r="X42" s="74">
        <f t="shared" si="10"/>
        <v>68.30662737638514</v>
      </c>
      <c r="Y42" s="74">
        <f t="shared" si="10"/>
        <v>68.30662737638514</v>
      </c>
      <c r="Z42" s="74">
        <f t="shared" si="10"/>
        <v>68.30662737638514</v>
      </c>
      <c r="AA42" s="74">
        <f t="shared" si="10"/>
        <v>68.30662737638514</v>
      </c>
      <c r="AB42" s="74">
        <f t="shared" si="10"/>
        <v>68.30662737638514</v>
      </c>
      <c r="AC42" s="74">
        <f t="shared" si="10"/>
        <v>77.29445774456322</v>
      </c>
      <c r="AD42" s="74">
        <f t="shared" si="10"/>
        <v>77.29445774456322</v>
      </c>
      <c r="AE42" s="74">
        <f t="shared" si="10"/>
        <v>77.29445774456322</v>
      </c>
      <c r="AF42" s="74">
        <f t="shared" si="10"/>
        <v>77.29445774456322</v>
      </c>
      <c r="AG42" s="74">
        <f t="shared" si="10"/>
        <v>77.29445774456322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2.75">
      <c r="A43" s="73" t="s">
        <v>12</v>
      </c>
      <c r="B43" s="72">
        <f>SUM(B35:B41)</f>
        <v>9512</v>
      </c>
      <c r="C43" s="72">
        <f aca="true" t="shared" si="11" ref="C43:AH43">SUM(C35:C41)</f>
        <v>8208.171206225681</v>
      </c>
      <c r="D43" s="72">
        <f t="shared" si="11"/>
        <v>4324.486554670082</v>
      </c>
      <c r="E43" s="72">
        <f t="shared" si="11"/>
        <v>903.5820730691138</v>
      </c>
      <c r="F43" s="72">
        <f>SUM(F35:F41)</f>
        <v>905.6795473405278</v>
      </c>
      <c r="G43" s="72">
        <f t="shared" si="11"/>
        <v>907.1600033707425</v>
      </c>
      <c r="H43" s="72">
        <f t="shared" si="11"/>
        <v>907.361746470573</v>
      </c>
      <c r="I43" s="72">
        <f t="shared" si="11"/>
        <v>909.4123839886305</v>
      </c>
      <c r="J43" s="72">
        <f t="shared" si="11"/>
        <v>909.4123839886305</v>
      </c>
      <c r="K43" s="72">
        <f t="shared" si="11"/>
        <v>909.4123839886305</v>
      </c>
      <c r="L43" s="72">
        <f t="shared" si="11"/>
        <v>909.4123839886305</v>
      </c>
      <c r="M43" s="72">
        <f t="shared" si="11"/>
        <v>909.4123839886305</v>
      </c>
      <c r="N43" s="72">
        <f t="shared" si="11"/>
        <v>912.4123839886305</v>
      </c>
      <c r="O43" s="72">
        <f t="shared" si="11"/>
        <v>572.4123839886305</v>
      </c>
      <c r="P43" s="72">
        <f t="shared" si="11"/>
        <v>577.8761014307146</v>
      </c>
      <c r="Q43" s="72">
        <f t="shared" si="11"/>
        <v>2077.8761014307147</v>
      </c>
      <c r="R43" s="72">
        <f t="shared" si="11"/>
        <v>572.4123839886305</v>
      </c>
      <c r="S43" s="72">
        <f t="shared" si="11"/>
        <v>572.4123839886305</v>
      </c>
      <c r="T43" s="72">
        <f t="shared" si="11"/>
        <v>572.4123839886305</v>
      </c>
      <c r="U43" s="72">
        <f t="shared" si="11"/>
        <v>572.4123839886305</v>
      </c>
      <c r="V43" s="72">
        <f t="shared" si="11"/>
        <v>572.4123839886305</v>
      </c>
      <c r="W43" s="72">
        <f t="shared" si="11"/>
        <v>572.4123839886305</v>
      </c>
      <c r="X43" s="72">
        <f t="shared" si="11"/>
        <v>624.6128193452405</v>
      </c>
      <c r="Y43" s="72">
        <f t="shared" si="11"/>
        <v>640.7190113650156</v>
      </c>
      <c r="Z43" s="72">
        <f t="shared" si="11"/>
        <v>640.7190113650156</v>
      </c>
      <c r="AA43" s="72">
        <f t="shared" si="11"/>
        <v>640.7190113650156</v>
      </c>
      <c r="AB43" s="72">
        <f t="shared" si="11"/>
        <v>640.7190113650156</v>
      </c>
      <c r="AC43" s="72">
        <f t="shared" si="11"/>
        <v>640.7190113650156</v>
      </c>
      <c r="AD43" s="72">
        <f t="shared" si="11"/>
        <v>649.7068417331938</v>
      </c>
      <c r="AE43" s="72">
        <f t="shared" si="11"/>
        <v>649.7068417331938</v>
      </c>
      <c r="AF43" s="72">
        <f t="shared" si="11"/>
        <v>649.7068417331938</v>
      </c>
      <c r="AG43" s="72">
        <f t="shared" si="11"/>
        <v>649.7068417331938</v>
      </c>
      <c r="AH43" s="72">
        <f t="shared" si="11"/>
        <v>77.29445774456322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-24.524775864113508</v>
      </c>
      <c r="E45" s="72">
        <f t="shared" si="12"/>
        <v>5.557467925670267</v>
      </c>
      <c r="F45" s="72">
        <f t="shared" si="12"/>
        <v>41.83889298303495</v>
      </c>
      <c r="G45" s="72">
        <f t="shared" si="12"/>
        <v>67.44733797947276</v>
      </c>
      <c r="H45" s="72">
        <f t="shared" si="12"/>
        <v>70.93702424504306</v>
      </c>
      <c r="I45" s="72">
        <f t="shared" si="12"/>
        <v>69.81293549770112</v>
      </c>
      <c r="J45" s="72">
        <f t="shared" si="12"/>
        <v>69.81293549770112</v>
      </c>
      <c r="K45" s="72">
        <f t="shared" si="12"/>
        <v>69.81293549770112</v>
      </c>
      <c r="L45" s="72">
        <f t="shared" si="12"/>
        <v>69.81293549770112</v>
      </c>
      <c r="M45" s="72">
        <f t="shared" si="12"/>
        <v>69.81293549770112</v>
      </c>
      <c r="N45" s="72">
        <f t="shared" si="12"/>
        <v>66.81293549770112</v>
      </c>
      <c r="O45" s="72">
        <f t="shared" si="12"/>
        <v>406.8129354977011</v>
      </c>
      <c r="P45" s="72">
        <f t="shared" si="12"/>
        <v>401.34921805561703</v>
      </c>
      <c r="Q45" s="72">
        <f t="shared" si="12"/>
        <v>-1098.6507819443832</v>
      </c>
      <c r="R45" s="72">
        <f t="shared" si="12"/>
        <v>406.8129354977011</v>
      </c>
      <c r="S45" s="72">
        <f t="shared" si="12"/>
        <v>406.8129354977011</v>
      </c>
      <c r="T45" s="72">
        <f t="shared" si="12"/>
        <v>406.8129354977011</v>
      </c>
      <c r="U45" s="72">
        <f t="shared" si="12"/>
        <v>406.8129354977011</v>
      </c>
      <c r="V45" s="72">
        <f t="shared" si="12"/>
        <v>406.8129354977011</v>
      </c>
      <c r="W45" s="72">
        <f t="shared" si="12"/>
        <v>406.8129354977011</v>
      </c>
      <c r="X45" s="72">
        <f t="shared" si="12"/>
        <v>354.6125001410911</v>
      </c>
      <c r="Y45" s="72">
        <f t="shared" si="12"/>
        <v>338.506308121316</v>
      </c>
      <c r="Z45" s="72">
        <f t="shared" si="12"/>
        <v>338.506308121316</v>
      </c>
      <c r="AA45" s="72">
        <f t="shared" si="12"/>
        <v>338.506308121316</v>
      </c>
      <c r="AB45" s="72">
        <f t="shared" si="12"/>
        <v>338.506308121316</v>
      </c>
      <c r="AC45" s="72">
        <f t="shared" si="12"/>
        <v>338.506308121316</v>
      </c>
      <c r="AD45" s="72">
        <f t="shared" si="12"/>
        <v>329.51847775313786</v>
      </c>
      <c r="AE45" s="72">
        <f t="shared" si="12"/>
        <v>329.51847775313786</v>
      </c>
      <c r="AF45" s="72">
        <f t="shared" si="12"/>
        <v>329.51847775313786</v>
      </c>
      <c r="AG45" s="72">
        <f t="shared" si="12"/>
        <v>329.51847775313786</v>
      </c>
      <c r="AH45" s="72">
        <f t="shared" si="12"/>
        <v>-77.29445774456322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-24.524775864113508</v>
      </c>
      <c r="E46" s="76">
        <f t="shared" si="13"/>
        <v>-18.96730793844324</v>
      </c>
      <c r="F46" s="76">
        <f t="shared" si="13"/>
        <v>22.87158504459171</v>
      </c>
      <c r="G46" s="76">
        <f t="shared" si="13"/>
        <v>90.31892302406447</v>
      </c>
      <c r="H46" s="76">
        <f t="shared" si="13"/>
        <v>161.25594726910754</v>
      </c>
      <c r="I46" s="76">
        <f t="shared" si="13"/>
        <v>231.06888276680866</v>
      </c>
      <c r="J46" s="76">
        <f t="shared" si="13"/>
        <v>300.8818182645098</v>
      </c>
      <c r="K46" s="76">
        <f t="shared" si="13"/>
        <v>370.6947537622109</v>
      </c>
      <c r="L46" s="76">
        <f t="shared" si="13"/>
        <v>440.507689259912</v>
      </c>
      <c r="M46" s="76">
        <f t="shared" si="13"/>
        <v>510.32062475761313</v>
      </c>
      <c r="N46" s="76">
        <f t="shared" si="13"/>
        <v>577.1335602553143</v>
      </c>
      <c r="O46" s="76">
        <f t="shared" si="13"/>
        <v>983.9464957530154</v>
      </c>
      <c r="P46" s="76">
        <f t="shared" si="13"/>
        <v>1385.2957138086324</v>
      </c>
      <c r="Q46" s="76">
        <f t="shared" si="13"/>
        <v>286.6449318642492</v>
      </c>
      <c r="R46" s="76">
        <f t="shared" si="13"/>
        <v>693.4578673619503</v>
      </c>
      <c r="S46" s="76">
        <f t="shared" si="13"/>
        <v>1100.2708028596514</v>
      </c>
      <c r="T46" s="76">
        <f t="shared" si="13"/>
        <v>1507.0837383573526</v>
      </c>
      <c r="U46" s="76">
        <f t="shared" si="13"/>
        <v>1913.8966738550537</v>
      </c>
      <c r="V46" s="76">
        <f t="shared" si="13"/>
        <v>2320.709609352755</v>
      </c>
      <c r="W46" s="76">
        <f t="shared" si="13"/>
        <v>2727.522544850456</v>
      </c>
      <c r="X46" s="76">
        <f t="shared" si="13"/>
        <v>3082.135044991547</v>
      </c>
      <c r="Y46" s="76">
        <f t="shared" si="13"/>
        <v>3420.6413531128633</v>
      </c>
      <c r="Z46" s="76">
        <f t="shared" si="13"/>
        <v>3759.1476612341794</v>
      </c>
      <c r="AA46" s="76">
        <f t="shared" si="13"/>
        <v>4097.653969355495</v>
      </c>
      <c r="AB46" s="76">
        <f t="shared" si="13"/>
        <v>4436.160277476811</v>
      </c>
      <c r="AC46" s="76">
        <f t="shared" si="13"/>
        <v>4774.666585598126</v>
      </c>
      <c r="AD46" s="76">
        <f t="shared" si="13"/>
        <v>5104.185063351264</v>
      </c>
      <c r="AE46" s="76">
        <f t="shared" si="13"/>
        <v>5433.703541104402</v>
      </c>
      <c r="AF46" s="76">
        <f t="shared" si="13"/>
        <v>5763.222018857539</v>
      </c>
      <c r="AG46" s="76">
        <f>AF46+AG45</f>
        <v>6092.740496610677</v>
      </c>
      <c r="AH46" s="76">
        <f>AG46+AH45</f>
        <v>6015.446038866114</v>
      </c>
      <c r="AI46" s="76">
        <f>AH46+AI45</f>
        <v>6015.446038866114</v>
      </c>
      <c r="AJ46" s="76">
        <f>AI46+AJ45</f>
        <v>6015.446038866114</v>
      </c>
    </row>
    <row r="47" spans="1:36" ht="12.75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12.75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-24.52477586411368</v>
      </c>
      <c r="E48" s="74">
        <f t="shared" si="14"/>
        <v>345.55746792567027</v>
      </c>
      <c r="F48" s="74">
        <f t="shared" si="14"/>
        <v>381.83889298303495</v>
      </c>
      <c r="G48" s="74">
        <f t="shared" si="14"/>
        <v>407.44733797947276</v>
      </c>
      <c r="H48" s="74">
        <f t="shared" si="14"/>
        <v>410.93702424504306</v>
      </c>
      <c r="I48" s="74">
        <f t="shared" si="14"/>
        <v>409.8129354977011</v>
      </c>
      <c r="J48" s="74">
        <f t="shared" si="14"/>
        <v>409.8129354977011</v>
      </c>
      <c r="K48" s="74">
        <f t="shared" si="14"/>
        <v>409.8129354977011</v>
      </c>
      <c r="L48" s="74">
        <f t="shared" si="14"/>
        <v>409.8129354977011</v>
      </c>
      <c r="M48" s="74">
        <f t="shared" si="14"/>
        <v>409.8129354977011</v>
      </c>
      <c r="N48" s="74">
        <f t="shared" si="14"/>
        <v>406.8129354977011</v>
      </c>
      <c r="O48" s="74">
        <f t="shared" si="14"/>
        <v>406.8129354977011</v>
      </c>
      <c r="P48" s="74">
        <f t="shared" si="14"/>
        <v>406.8129354977011</v>
      </c>
      <c r="Q48" s="74">
        <f t="shared" si="14"/>
        <v>-1093.1870645022989</v>
      </c>
      <c r="R48" s="74">
        <f t="shared" si="14"/>
        <v>406.8129354977011</v>
      </c>
      <c r="S48" s="74">
        <f t="shared" si="14"/>
        <v>406.8129354977011</v>
      </c>
      <c r="T48" s="74">
        <f t="shared" si="14"/>
        <v>406.8129354977011</v>
      </c>
      <c r="U48" s="74">
        <f t="shared" si="14"/>
        <v>406.8129354977011</v>
      </c>
      <c r="V48" s="74">
        <f t="shared" si="14"/>
        <v>406.8129354977011</v>
      </c>
      <c r="W48" s="74">
        <f t="shared" si="14"/>
        <v>406.8129354977011</v>
      </c>
      <c r="X48" s="74">
        <f t="shared" si="14"/>
        <v>406.8129354977011</v>
      </c>
      <c r="Y48" s="74">
        <f t="shared" si="14"/>
        <v>406.8129354977011</v>
      </c>
      <c r="Z48" s="74">
        <f t="shared" si="14"/>
        <v>406.8129354977011</v>
      </c>
      <c r="AA48" s="74">
        <f t="shared" si="14"/>
        <v>406.8129354977011</v>
      </c>
      <c r="AB48" s="74">
        <f t="shared" si="14"/>
        <v>406.8129354977011</v>
      </c>
      <c r="AC48" s="74">
        <f t="shared" si="14"/>
        <v>406.8129354977011</v>
      </c>
      <c r="AD48" s="74">
        <f t="shared" si="14"/>
        <v>406.8129354977011</v>
      </c>
      <c r="AE48" s="74">
        <f t="shared" si="14"/>
        <v>406.8129354977011</v>
      </c>
      <c r="AF48" s="74">
        <f t="shared" si="14"/>
        <v>406.8129354977011</v>
      </c>
      <c r="AG48" s="74">
        <f t="shared" si="14"/>
        <v>556.8129354977011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12.75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>
        <f t="shared" si="15"/>
        <v>0.9057833891119857</v>
      </c>
      <c r="F49" s="79">
        <f t="shared" si="15"/>
        <v>0.04221453099134198</v>
      </c>
      <c r="G49" s="79">
        <f t="shared" si="15"/>
        <v>0.028589312749841556</v>
      </c>
      <c r="H49" s="79">
        <f t="shared" si="15"/>
        <v>0.0037876067712425687</v>
      </c>
      <c r="I49" s="79">
        <f t="shared" si="15"/>
        <v>0.0009471020494462579</v>
      </c>
      <c r="J49" s="79">
        <f t="shared" si="15"/>
        <v>0</v>
      </c>
      <c r="K49" s="79">
        <f t="shared" si="15"/>
        <v>0</v>
      </c>
      <c r="L49" s="79">
        <f t="shared" si="15"/>
        <v>0</v>
      </c>
      <c r="M49" s="79">
        <f t="shared" si="15"/>
        <v>0</v>
      </c>
      <c r="N49" s="79">
        <f t="shared" si="15"/>
        <v>0</v>
      </c>
      <c r="O49" s="79">
        <f t="shared" si="15"/>
        <v>0</v>
      </c>
      <c r="P49" s="79">
        <f t="shared" si="15"/>
        <v>0</v>
      </c>
      <c r="Q49" s="79">
        <f t="shared" si="15"/>
        <v>0</v>
      </c>
      <c r="R49" s="79">
        <f t="shared" si="15"/>
        <v>0</v>
      </c>
      <c r="S49" s="79">
        <f t="shared" si="15"/>
        <v>0</v>
      </c>
      <c r="T49" s="79">
        <f t="shared" si="15"/>
        <v>0</v>
      </c>
      <c r="U49" s="79">
        <f t="shared" si="15"/>
        <v>0</v>
      </c>
      <c r="V49" s="79">
        <f t="shared" si="15"/>
        <v>0</v>
      </c>
      <c r="W49" s="79">
        <f t="shared" si="15"/>
        <v>0</v>
      </c>
      <c r="X49" s="79">
        <f t="shared" si="15"/>
        <v>0</v>
      </c>
      <c r="Y49" s="79">
        <f t="shared" si="15"/>
        <v>0</v>
      </c>
      <c r="Z49" s="79">
        <f t="shared" si="15"/>
        <v>0</v>
      </c>
      <c r="AA49" s="79">
        <f t="shared" si="15"/>
        <v>0</v>
      </c>
      <c r="AB49" s="79">
        <f t="shared" si="15"/>
        <v>0</v>
      </c>
      <c r="AC49" s="79">
        <f t="shared" si="15"/>
        <v>0</v>
      </c>
      <c r="AD49" s="79">
        <f t="shared" si="15"/>
        <v>0</v>
      </c>
      <c r="AE49" s="79">
        <f t="shared" si="15"/>
        <v>0</v>
      </c>
      <c r="AF49" s="79">
        <f t="shared" si="15"/>
        <v>0</v>
      </c>
      <c r="AG49" s="79">
        <f>AG32/AF32-1</f>
        <v>0</v>
      </c>
      <c r="AH49" s="79">
        <f t="shared" si="15"/>
        <v>-1</v>
      </c>
      <c r="AI49" s="79" t="e">
        <f>AI32/AH32-1</f>
        <v>#DIV/0!</v>
      </c>
      <c r="AJ49" s="79" t="e">
        <f>AJ32/AI32-1</f>
        <v>#DIV/0!</v>
      </c>
    </row>
    <row r="50" spans="1:36" s="56" customFormat="1" ht="12.75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>
        <f>E38/D38-1</f>
        <v>0.12364218653302617</v>
      </c>
      <c r="F50" s="79">
        <f>F38/E38-1</f>
        <v>0.0037216838001814523</v>
      </c>
      <c r="G50" s="79">
        <f t="shared" si="16"/>
        <v>0.0026171284381322213</v>
      </c>
      <c r="H50" s="79">
        <f t="shared" si="16"/>
        <v>0.0003557075580640223</v>
      </c>
      <c r="I50" s="79">
        <f t="shared" si="16"/>
        <v>0.0036143387015674655</v>
      </c>
      <c r="J50" s="79">
        <f t="shared" si="16"/>
        <v>0</v>
      </c>
      <c r="K50" s="79">
        <f t="shared" si="16"/>
        <v>0</v>
      </c>
      <c r="L50" s="79">
        <f t="shared" si="16"/>
        <v>0</v>
      </c>
      <c r="M50" s="79">
        <f t="shared" si="16"/>
        <v>0</v>
      </c>
      <c r="N50" s="79">
        <f t="shared" si="16"/>
        <v>0.00526858931129226</v>
      </c>
      <c r="O50" s="79">
        <f t="shared" si="16"/>
        <v>0</v>
      </c>
      <c r="P50" s="79">
        <f t="shared" si="16"/>
        <v>0</v>
      </c>
      <c r="Q50" s="79">
        <f t="shared" si="16"/>
        <v>0</v>
      </c>
      <c r="R50" s="79">
        <f t="shared" si="16"/>
        <v>0</v>
      </c>
      <c r="S50" s="79">
        <f t="shared" si="16"/>
        <v>0</v>
      </c>
      <c r="T50" s="79">
        <f t="shared" si="16"/>
        <v>0</v>
      </c>
      <c r="U50" s="79">
        <f t="shared" si="16"/>
        <v>0</v>
      </c>
      <c r="V50" s="79">
        <f t="shared" si="16"/>
        <v>0</v>
      </c>
      <c r="W50" s="79">
        <f t="shared" si="16"/>
        <v>0</v>
      </c>
      <c r="X50" s="79">
        <f t="shared" si="16"/>
        <v>0</v>
      </c>
      <c r="Y50" s="79">
        <f t="shared" si="16"/>
        <v>0</v>
      </c>
      <c r="Z50" s="79">
        <f t="shared" si="16"/>
        <v>0</v>
      </c>
      <c r="AA50" s="79">
        <f t="shared" si="16"/>
        <v>0</v>
      </c>
      <c r="AB50" s="79">
        <f t="shared" si="16"/>
        <v>0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79">
        <f t="shared" si="16"/>
        <v>0</v>
      </c>
      <c r="AG50" s="79">
        <f>AG38/AF38-1</f>
        <v>0</v>
      </c>
      <c r="AH50" s="79">
        <f>AH38/AG38-1</f>
        <v>-1</v>
      </c>
      <c r="AI50" s="79" t="e">
        <f>AI38/AH38-1</f>
        <v>#DIV/0!</v>
      </c>
      <c r="AJ50" s="79" t="e">
        <f>AJ38/AI38-1</f>
        <v>#DIV/0!</v>
      </c>
    </row>
    <row r="51" spans="1:36" s="56" customFormat="1" ht="12.75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>
        <f t="shared" si="17"/>
        <v>-15.090137656724254</v>
      </c>
      <c r="F51" s="79">
        <f t="shared" si="17"/>
        <v>0.10499389660179137</v>
      </c>
      <c r="G51" s="79">
        <f t="shared" si="17"/>
        <v>0.0670660989936811</v>
      </c>
      <c r="H51" s="79">
        <f t="shared" si="17"/>
        <v>0.008564754117367901</v>
      </c>
      <c r="I51" s="79">
        <f t="shared" si="17"/>
        <v>-0.002735428255478012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-0.007320413144979443</v>
      </c>
      <c r="O51" s="79">
        <f t="shared" si="17"/>
        <v>0</v>
      </c>
      <c r="P51" s="79">
        <f t="shared" si="17"/>
        <v>0</v>
      </c>
      <c r="Q51" s="79">
        <f t="shared" si="17"/>
        <v>-3.6871983880376793</v>
      </c>
      <c r="R51" s="79">
        <f t="shared" si="17"/>
        <v>-1.3721347870896303</v>
      </c>
      <c r="S51" s="79">
        <f t="shared" si="17"/>
        <v>0</v>
      </c>
      <c r="T51" s="79">
        <f t="shared" si="17"/>
        <v>0</v>
      </c>
      <c r="U51" s="79">
        <f t="shared" si="17"/>
        <v>0</v>
      </c>
      <c r="V51" s="79">
        <f t="shared" si="17"/>
        <v>0</v>
      </c>
      <c r="W51" s="79">
        <f t="shared" si="17"/>
        <v>0</v>
      </c>
      <c r="X51" s="79">
        <f t="shared" si="17"/>
        <v>0</v>
      </c>
      <c r="Y51" s="79">
        <f t="shared" si="17"/>
        <v>0</v>
      </c>
      <c r="Z51" s="79">
        <f t="shared" si="17"/>
        <v>0</v>
      </c>
      <c r="AA51" s="79">
        <f t="shared" si="17"/>
        <v>0</v>
      </c>
      <c r="AB51" s="79">
        <f t="shared" si="17"/>
        <v>0</v>
      </c>
      <c r="AC51" s="79">
        <f t="shared" si="17"/>
        <v>0</v>
      </c>
      <c r="AD51" s="79">
        <f t="shared" si="17"/>
        <v>0</v>
      </c>
      <c r="AE51" s="79">
        <f t="shared" si="17"/>
        <v>0</v>
      </c>
      <c r="AF51" s="79">
        <f t="shared" si="17"/>
        <v>0</v>
      </c>
      <c r="AG51" s="79">
        <f>AG48/AF48-1</f>
        <v>0.368719838803768</v>
      </c>
      <c r="AH51" s="79">
        <f>AH48/AG48-1</f>
        <v>-1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.75">
      <c r="A54" s="72" t="s">
        <v>153</v>
      </c>
      <c r="B54" s="72">
        <f>'Investičné výdavky'!G41/1000</f>
        <v>680</v>
      </c>
      <c r="C54" s="72">
        <f>'Investičné výdavky'!G42/1000</f>
        <v>661.4785992217899</v>
      </c>
      <c r="D54" s="72">
        <f>'Investičné výdavky'!G43/1000</f>
        <v>321.7308361973686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12.75" hidden="1">
      <c r="A55" s="74" t="s">
        <v>68</v>
      </c>
      <c r="B55" s="74">
        <f>B35+B36-B54</f>
        <v>8832</v>
      </c>
      <c r="C55" s="74">
        <f aca="true" t="shared" si="18" ref="C55:AJ55">C35+C36-C54</f>
        <v>7546.692607003892</v>
      </c>
      <c r="D55" s="74">
        <f t="shared" si="18"/>
        <v>3501.1885115595996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150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900</v>
      </c>
      <c r="D57" s="72">
        <f>'Odpisy - daňové'!E21</f>
        <v>1124</v>
      </c>
      <c r="E57" s="72">
        <f>'Odpisy - daňové'!F21</f>
        <v>1124</v>
      </c>
      <c r="F57" s="72">
        <f>'Odpisy - daňové'!G21</f>
        <v>1124</v>
      </c>
      <c r="G57" s="72">
        <f>'Odpisy - daňové'!H21</f>
        <v>1124</v>
      </c>
      <c r="H57" s="72">
        <f>'Odpisy - daňové'!I21</f>
        <v>1124</v>
      </c>
      <c r="I57" s="72">
        <f>'Odpisy - daňové'!J21</f>
        <v>1124</v>
      </c>
      <c r="J57" s="72">
        <f>'Odpisy - daňové'!K21</f>
        <v>1124</v>
      </c>
      <c r="K57" s="72">
        <f>'Odpisy - daňové'!L21</f>
        <v>1124</v>
      </c>
      <c r="L57" s="72">
        <f>'Odpisy - daňové'!M21</f>
        <v>1124</v>
      </c>
      <c r="M57" s="72">
        <f>'Odpisy - daňové'!N21</f>
        <v>1124</v>
      </c>
      <c r="N57" s="72">
        <f>'Odpisy - daňové'!O21</f>
        <v>1124</v>
      </c>
      <c r="O57" s="72">
        <f>'Odpisy - daňové'!P21</f>
        <v>999</v>
      </c>
      <c r="P57" s="72">
        <f>'Odpisy - daňové'!Q21</f>
        <v>999</v>
      </c>
      <c r="Q57" s="72">
        <f>'Odpisy - daňové'!R21</f>
        <v>1124</v>
      </c>
      <c r="R57" s="72">
        <f>'Odpisy - daňové'!S21</f>
        <v>1124</v>
      </c>
      <c r="S57" s="72">
        <f>'Odpisy - daňové'!T21</f>
        <v>1124</v>
      </c>
      <c r="T57" s="72">
        <f>'Odpisy - daňové'!U21</f>
        <v>1124</v>
      </c>
      <c r="U57" s="72">
        <f>'Odpisy - daňové'!V21</f>
        <v>1124</v>
      </c>
      <c r="V57" s="72">
        <f>'Odpisy - daňové'!W21</f>
        <v>1124</v>
      </c>
      <c r="W57" s="72">
        <f>'Odpisy - daňové'!X21</f>
        <v>349</v>
      </c>
      <c r="X57" s="72">
        <f>'Odpisy - daňové'!Y21</f>
        <v>125</v>
      </c>
      <c r="Y57" s="72">
        <f>'Odpisy - daňové'!Z21</f>
        <v>125</v>
      </c>
      <c r="Z57" s="72">
        <f>'Odpisy - daňové'!AA21</f>
        <v>125</v>
      </c>
      <c r="AA57" s="72">
        <f>'Odpisy - daňové'!AB21</f>
        <v>125</v>
      </c>
      <c r="AB57" s="72">
        <f>'Odpisy - daňové'!AC21</f>
        <v>125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2.75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12.75" hidden="1">
      <c r="A59" s="74" t="s">
        <v>18</v>
      </c>
      <c r="B59" s="74">
        <f>B32+B36+B56-(B35+B37+B38)</f>
        <v>-6648</v>
      </c>
      <c r="C59" s="74">
        <f aca="true" t="shared" si="19" ref="C59:AJ59">C32+C36+C56-(C35+C37+C38)</f>
        <v>-7511.6731517509725</v>
      </c>
      <c r="D59" s="74">
        <f t="shared" si="19"/>
        <v>-3847.4441236210823</v>
      </c>
      <c r="E59" s="74">
        <f t="shared" si="19"/>
        <v>345.55746792567027</v>
      </c>
      <c r="F59" s="74">
        <f t="shared" si="19"/>
        <v>381.83889298303495</v>
      </c>
      <c r="G59" s="74">
        <f t="shared" si="19"/>
        <v>407.44733797947276</v>
      </c>
      <c r="H59" s="74">
        <f t="shared" si="19"/>
        <v>410.93702424504306</v>
      </c>
      <c r="I59" s="74">
        <f t="shared" si="19"/>
        <v>409.8129354977011</v>
      </c>
      <c r="J59" s="74">
        <f t="shared" si="19"/>
        <v>409.8129354977011</v>
      </c>
      <c r="K59" s="74">
        <f t="shared" si="19"/>
        <v>409.8129354977011</v>
      </c>
      <c r="L59" s="74">
        <f t="shared" si="19"/>
        <v>409.8129354977011</v>
      </c>
      <c r="M59" s="74">
        <f t="shared" si="19"/>
        <v>409.8129354977011</v>
      </c>
      <c r="N59" s="74">
        <f t="shared" si="19"/>
        <v>406.8129354977011</v>
      </c>
      <c r="O59" s="74">
        <f t="shared" si="19"/>
        <v>406.8129354977011</v>
      </c>
      <c r="P59" s="74">
        <f t="shared" si="19"/>
        <v>406.8129354977011</v>
      </c>
      <c r="Q59" s="74">
        <f t="shared" si="19"/>
        <v>-1093.187064502299</v>
      </c>
      <c r="R59" s="74">
        <f t="shared" si="19"/>
        <v>406.8129354977011</v>
      </c>
      <c r="S59" s="74">
        <f t="shared" si="19"/>
        <v>406.8129354977011</v>
      </c>
      <c r="T59" s="74">
        <f t="shared" si="19"/>
        <v>406.8129354977011</v>
      </c>
      <c r="U59" s="74">
        <f t="shared" si="19"/>
        <v>406.8129354977011</v>
      </c>
      <c r="V59" s="74">
        <f t="shared" si="19"/>
        <v>406.8129354977011</v>
      </c>
      <c r="W59" s="74">
        <f t="shared" si="19"/>
        <v>406.8129354977011</v>
      </c>
      <c r="X59" s="74">
        <f t="shared" si="19"/>
        <v>406.8129354977011</v>
      </c>
      <c r="Y59" s="74">
        <f t="shared" si="19"/>
        <v>406.8129354977011</v>
      </c>
      <c r="Z59" s="74">
        <f t="shared" si="19"/>
        <v>406.8129354977011</v>
      </c>
      <c r="AA59" s="74">
        <f t="shared" si="19"/>
        <v>406.8129354977011</v>
      </c>
      <c r="AB59" s="74">
        <f t="shared" si="19"/>
        <v>406.8129354977011</v>
      </c>
      <c r="AC59" s="74">
        <f t="shared" si="19"/>
        <v>406.8129354977011</v>
      </c>
      <c r="AD59" s="74">
        <f t="shared" si="19"/>
        <v>406.8129354977011</v>
      </c>
      <c r="AE59" s="74">
        <f t="shared" si="19"/>
        <v>406.8129354977011</v>
      </c>
      <c r="AF59" s="74">
        <f t="shared" si="19"/>
        <v>406.8129354977011</v>
      </c>
      <c r="AG59" s="74">
        <f t="shared" si="19"/>
        <v>556.812935497701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12.75" hidden="1">
      <c r="A60" s="74" t="s">
        <v>17</v>
      </c>
      <c r="B60" s="74">
        <f aca="true" t="shared" si="20" ref="B60:AJ60">B32+B56-(B30+B37+B38)</f>
        <v>-3761.903086491874</v>
      </c>
      <c r="C60" s="74">
        <f t="shared" si="20"/>
        <v>-2614.6917183773094</v>
      </c>
      <c r="D60" s="74">
        <f t="shared" si="20"/>
        <v>-1126.880170387438</v>
      </c>
      <c r="E60" s="74">
        <f t="shared" si="20"/>
        <v>345.55746792567027</v>
      </c>
      <c r="F60" s="74">
        <f t="shared" si="20"/>
        <v>381.83889298303495</v>
      </c>
      <c r="G60" s="74">
        <f t="shared" si="20"/>
        <v>407.44733797947276</v>
      </c>
      <c r="H60" s="74">
        <f t="shared" si="20"/>
        <v>410.93702424504306</v>
      </c>
      <c r="I60" s="74">
        <f t="shared" si="20"/>
        <v>409.8129354977011</v>
      </c>
      <c r="J60" s="74">
        <f t="shared" si="20"/>
        <v>409.8129354977011</v>
      </c>
      <c r="K60" s="74">
        <f t="shared" si="20"/>
        <v>409.8129354977011</v>
      </c>
      <c r="L60" s="74">
        <f t="shared" si="20"/>
        <v>409.8129354977011</v>
      </c>
      <c r="M60" s="74">
        <f t="shared" si="20"/>
        <v>409.8129354977011</v>
      </c>
      <c r="N60" s="74">
        <f t="shared" si="20"/>
        <v>406.8129354977011</v>
      </c>
      <c r="O60" s="74">
        <f t="shared" si="20"/>
        <v>406.8129354977011</v>
      </c>
      <c r="P60" s="74">
        <f t="shared" si="20"/>
        <v>406.8129354977011</v>
      </c>
      <c r="Q60" s="74">
        <f t="shared" si="20"/>
        <v>-1093.187064502299</v>
      </c>
      <c r="R60" s="74">
        <f t="shared" si="20"/>
        <v>406.8129354977011</v>
      </c>
      <c r="S60" s="74">
        <f t="shared" si="20"/>
        <v>406.8129354977011</v>
      </c>
      <c r="T60" s="74">
        <f t="shared" si="20"/>
        <v>406.8129354977011</v>
      </c>
      <c r="U60" s="74">
        <f t="shared" si="20"/>
        <v>406.8129354977011</v>
      </c>
      <c r="V60" s="74">
        <f t="shared" si="20"/>
        <v>406.8129354977011</v>
      </c>
      <c r="W60" s="74">
        <f t="shared" si="20"/>
        <v>406.8129354977011</v>
      </c>
      <c r="X60" s="74">
        <f t="shared" si="20"/>
        <v>406.8129354977011</v>
      </c>
      <c r="Y60" s="74">
        <f t="shared" si="20"/>
        <v>406.8129354977011</v>
      </c>
      <c r="Z60" s="74">
        <f t="shared" si="20"/>
        <v>406.8129354977011</v>
      </c>
      <c r="AA60" s="74">
        <f t="shared" si="20"/>
        <v>406.8129354977011</v>
      </c>
      <c r="AB60" s="74">
        <f t="shared" si="20"/>
        <v>406.8129354977011</v>
      </c>
      <c r="AC60" s="74">
        <f t="shared" si="20"/>
        <v>406.8129354977011</v>
      </c>
      <c r="AD60" s="74">
        <f t="shared" si="20"/>
        <v>406.8129354977011</v>
      </c>
      <c r="AE60" s="74">
        <f t="shared" si="20"/>
        <v>406.8129354977011</v>
      </c>
      <c r="AF60" s="74">
        <f t="shared" si="20"/>
        <v>406.8129354977011</v>
      </c>
      <c r="AG60" s="74">
        <f t="shared" si="20"/>
        <v>556.812935497701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12.75" hidden="1">
      <c r="A61" s="74" t="s">
        <v>136</v>
      </c>
      <c r="B61" s="74">
        <f>B59</f>
        <v>-6648</v>
      </c>
      <c r="C61" s="74">
        <f>B61+C59</f>
        <v>-14159.673151750972</v>
      </c>
      <c r="D61" s="74">
        <f aca="true" t="shared" si="21" ref="D61:AJ61">C61+D59</f>
        <v>-18007.117275372053</v>
      </c>
      <c r="E61" s="74">
        <f t="shared" si="21"/>
        <v>-17661.55980744638</v>
      </c>
      <c r="F61" s="74">
        <f t="shared" si="21"/>
        <v>-17279.720914463345</v>
      </c>
      <c r="G61" s="74">
        <f t="shared" si="21"/>
        <v>-16872.273576483873</v>
      </c>
      <c r="H61" s="74">
        <f t="shared" si="21"/>
        <v>-16461.33655223883</v>
      </c>
      <c r="I61" s="74">
        <f t="shared" si="21"/>
        <v>-16051.52361674113</v>
      </c>
      <c r="J61" s="74">
        <f t="shared" si="21"/>
        <v>-15641.710681243429</v>
      </c>
      <c r="K61" s="74">
        <f t="shared" si="21"/>
        <v>-15231.897745745728</v>
      </c>
      <c r="L61" s="74">
        <f t="shared" si="21"/>
        <v>-14822.084810248027</v>
      </c>
      <c r="M61" s="74">
        <f t="shared" si="21"/>
        <v>-14412.271874750326</v>
      </c>
      <c r="N61" s="74">
        <f t="shared" si="21"/>
        <v>-14005.458939252625</v>
      </c>
      <c r="O61" s="74">
        <f t="shared" si="21"/>
        <v>-13598.646003754924</v>
      </c>
      <c r="P61" s="74">
        <f t="shared" si="21"/>
        <v>-13191.833068257223</v>
      </c>
      <c r="Q61" s="74">
        <f t="shared" si="21"/>
        <v>-14285.020132759522</v>
      </c>
      <c r="R61" s="74">
        <f t="shared" si="21"/>
        <v>-13878.207197261821</v>
      </c>
      <c r="S61" s="74">
        <f t="shared" si="21"/>
        <v>-13471.39426176412</v>
      </c>
      <c r="T61" s="74">
        <f t="shared" si="21"/>
        <v>-13064.58132626642</v>
      </c>
      <c r="U61" s="74">
        <f t="shared" si="21"/>
        <v>-12657.768390768719</v>
      </c>
      <c r="V61" s="74">
        <f t="shared" si="21"/>
        <v>-12250.955455271018</v>
      </c>
      <c r="W61" s="74">
        <f t="shared" si="21"/>
        <v>-11844.142519773317</v>
      </c>
      <c r="X61" s="74">
        <f t="shared" si="21"/>
        <v>-11437.329584275616</v>
      </c>
      <c r="Y61" s="74">
        <f t="shared" si="21"/>
        <v>-11030.516648777915</v>
      </c>
      <c r="Z61" s="74">
        <f t="shared" si="21"/>
        <v>-10623.703713280214</v>
      </c>
      <c r="AA61" s="74">
        <f t="shared" si="21"/>
        <v>-10216.890777782513</v>
      </c>
      <c r="AB61" s="74">
        <f t="shared" si="21"/>
        <v>-9810.077842284813</v>
      </c>
      <c r="AC61" s="74">
        <f t="shared" si="21"/>
        <v>-9403.264906787112</v>
      </c>
      <c r="AD61" s="74">
        <f t="shared" si="21"/>
        <v>-8996.45197128941</v>
      </c>
      <c r="AE61" s="74">
        <f t="shared" si="21"/>
        <v>-8589.63903579171</v>
      </c>
      <c r="AF61" s="74">
        <f t="shared" si="21"/>
        <v>-8182.826100294009</v>
      </c>
      <c r="AG61" s="74">
        <f t="shared" si="21"/>
        <v>-7626.013164796308</v>
      </c>
      <c r="AH61" s="74">
        <f t="shared" si="21"/>
        <v>-7626.013164796308</v>
      </c>
      <c r="AI61" s="74">
        <f t="shared" si="21"/>
        <v>-7626.013164796308</v>
      </c>
      <c r="AJ61" s="74">
        <f t="shared" si="21"/>
        <v>-7626.013164796308</v>
      </c>
    </row>
    <row r="62" spans="1:36" s="56" customFormat="1" ht="12.75" hidden="1">
      <c r="A62" s="74" t="s">
        <v>135</v>
      </c>
      <c r="B62" s="74">
        <f>B60</f>
        <v>-3761.903086491874</v>
      </c>
      <c r="C62" s="74">
        <f>B62+C60</f>
        <v>-6376.5948048691835</v>
      </c>
      <c r="D62" s="74">
        <f aca="true" t="shared" si="22" ref="D62:AJ62">C62+D60</f>
        <v>-7503.474975256621</v>
      </c>
      <c r="E62" s="74">
        <f t="shared" si="22"/>
        <v>-7157.917507330951</v>
      </c>
      <c r="F62" s="74">
        <f t="shared" si="22"/>
        <v>-6776.078614347915</v>
      </c>
      <c r="G62" s="74">
        <f t="shared" si="22"/>
        <v>-6368.631276368443</v>
      </c>
      <c r="H62" s="74">
        <f t="shared" si="22"/>
        <v>-5957.6942521234</v>
      </c>
      <c r="I62" s="74">
        <f t="shared" si="22"/>
        <v>-5547.881316625699</v>
      </c>
      <c r="J62" s="74">
        <f t="shared" si="22"/>
        <v>-5138.068381127998</v>
      </c>
      <c r="K62" s="74">
        <f t="shared" si="22"/>
        <v>-4728.255445630297</v>
      </c>
      <c r="L62" s="74">
        <f t="shared" si="22"/>
        <v>-4318.442510132596</v>
      </c>
      <c r="M62" s="74">
        <f t="shared" si="22"/>
        <v>-3908.629574634895</v>
      </c>
      <c r="N62" s="74">
        <f t="shared" si="22"/>
        <v>-3501.816639137194</v>
      </c>
      <c r="O62" s="74">
        <f t="shared" si="22"/>
        <v>-3095.0037036394933</v>
      </c>
      <c r="P62" s="74">
        <f t="shared" si="22"/>
        <v>-2688.1907681417924</v>
      </c>
      <c r="Q62" s="74">
        <f t="shared" si="22"/>
        <v>-3781.3778326440915</v>
      </c>
      <c r="R62" s="74">
        <f t="shared" si="22"/>
        <v>-3374.5648971463906</v>
      </c>
      <c r="S62" s="74">
        <f t="shared" si="22"/>
        <v>-2967.7519616486898</v>
      </c>
      <c r="T62" s="74">
        <f t="shared" si="22"/>
        <v>-2560.939026150989</v>
      </c>
      <c r="U62" s="74">
        <f t="shared" si="22"/>
        <v>-2154.126090653288</v>
      </c>
      <c r="V62" s="74">
        <f t="shared" si="22"/>
        <v>-1747.3131551555869</v>
      </c>
      <c r="W62" s="74">
        <f t="shared" si="22"/>
        <v>-1340.5002196578857</v>
      </c>
      <c r="X62" s="74">
        <f t="shared" si="22"/>
        <v>-933.6872841601846</v>
      </c>
      <c r="Y62" s="74">
        <f t="shared" si="22"/>
        <v>-526.8743486624835</v>
      </c>
      <c r="Z62" s="74">
        <f t="shared" si="22"/>
        <v>-120.06141316478238</v>
      </c>
      <c r="AA62" s="74">
        <f t="shared" si="22"/>
        <v>286.75152233291874</v>
      </c>
      <c r="AB62" s="74">
        <f t="shared" si="22"/>
        <v>693.5644578306199</v>
      </c>
      <c r="AC62" s="74">
        <f t="shared" si="22"/>
        <v>1100.377393328321</v>
      </c>
      <c r="AD62" s="74">
        <f t="shared" si="22"/>
        <v>1507.190328826022</v>
      </c>
      <c r="AE62" s="74">
        <f t="shared" si="22"/>
        <v>1914.0032643237232</v>
      </c>
      <c r="AF62" s="74">
        <f t="shared" si="22"/>
        <v>2320.8161998214246</v>
      </c>
      <c r="AG62" s="74">
        <f t="shared" si="22"/>
        <v>2877.6291353191255</v>
      </c>
      <c r="AH62" s="74">
        <f t="shared" si="22"/>
        <v>2877.6291353191255</v>
      </c>
      <c r="AI62" s="74">
        <f t="shared" si="22"/>
        <v>2877.6291353191255</v>
      </c>
      <c r="AJ62" s="74">
        <f t="shared" si="22"/>
        <v>2877.6291353191255</v>
      </c>
    </row>
    <row r="63" spans="1:36" s="56" customFormat="1" ht="12.75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12.75" hidden="1">
      <c r="A64" s="74" t="s">
        <v>138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12.75" hidden="1">
      <c r="A65" s="74" t="s">
        <v>137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0</v>
      </c>
      <c r="AB65" s="74">
        <f t="shared" si="23"/>
        <v>0</v>
      </c>
      <c r="AC65" s="74">
        <f t="shared" si="23"/>
        <v>0</v>
      </c>
      <c r="AD65" s="74">
        <f t="shared" si="23"/>
        <v>0</v>
      </c>
      <c r="AE65" s="74">
        <f t="shared" si="23"/>
        <v>0</v>
      </c>
      <c r="AF65" s="74">
        <f t="shared" si="23"/>
        <v>0</v>
      </c>
      <c r="AG65" s="74">
        <f t="shared" si="23"/>
        <v>0</v>
      </c>
      <c r="AH65" s="74">
        <f t="shared" si="23"/>
        <v>0</v>
      </c>
      <c r="AI65" s="74">
        <f t="shared" si="23"/>
        <v>0</v>
      </c>
      <c r="AJ65" s="74">
        <f t="shared" si="23"/>
        <v>0</v>
      </c>
    </row>
    <row r="66" spans="1:36" s="56" customFormat="1" ht="12.75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12.75" hidden="1">
      <c r="A67" s="189" t="s">
        <v>20</v>
      </c>
      <c r="B67" s="190">
        <f>IRR(B59:AJ59,-0.05)</f>
        <v>-0.03023271422045974</v>
      </c>
      <c r="C67" s="189" t="s">
        <v>19</v>
      </c>
      <c r="D67" s="190">
        <f>IRR(B60:AJ60,0.06)</f>
        <v>0.020319669159251985</v>
      </c>
      <c r="E67" s="74"/>
      <c r="G67" s="189" t="s">
        <v>139</v>
      </c>
      <c r="H67" s="188" t="str">
        <f>IF(SUM(B64:AJ64)&gt;=35,"&gt;35 rokov",SUM(B64:AJ64)&amp;" rokov")</f>
        <v>&gt;35 rokov</v>
      </c>
      <c r="J67" s="74"/>
      <c r="K67" s="189" t="s">
        <v>140</v>
      </c>
      <c r="L67" s="188" t="str">
        <f>IF(SUM(B65:AJ65)&gt;=35,"&gt;35 rokov",SUM(B65:AJ65)&amp;" rokov")</f>
        <v>25 rokov</v>
      </c>
      <c r="M67" s="56" t="s">
        <v>147</v>
      </c>
      <c r="N67" s="188">
        <f>SUMIF(B38:AJ38,"&lt;&gt;0")/COUNTIF(B38:AJ38,"&lt;&gt;0")+SUMIF(C37:AJ37,"&lt;&gt;0")/COUNTIF(B38:AJ38,"&lt;&gt;0")</f>
        <v>618.6886725626612</v>
      </c>
      <c r="O67" s="193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12.75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56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password="CA31"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1">
      <selection activeCell="H4" sqref="H4"/>
    </sheetView>
  </sheetViews>
  <sheetFormatPr defaultColWidth="9.00390625" defaultRowHeight="12.75"/>
  <cols>
    <col min="1" max="1" width="18.875" style="158" customWidth="1"/>
    <col min="2" max="2" width="13.375" style="158" customWidth="1"/>
    <col min="3" max="3" width="13.625" style="158" customWidth="1"/>
    <col min="4" max="4" width="16.25390625" style="158" customWidth="1"/>
    <col min="5" max="5" width="23.875" style="158" customWidth="1"/>
    <col min="6" max="7" width="14.375" style="158" customWidth="1"/>
    <col min="8" max="16384" width="9.125" style="158" customWidth="1"/>
  </cols>
  <sheetData>
    <row r="1" ht="12.75">
      <c r="A1" s="157" t="s">
        <v>114</v>
      </c>
    </row>
    <row r="2" ht="12.75"/>
    <row r="3" spans="1:5" ht="12.75" customHeight="1">
      <c r="A3" s="264" t="s">
        <v>115</v>
      </c>
      <c r="B3" s="264"/>
      <c r="C3" s="264"/>
      <c r="D3" s="264"/>
      <c r="E3" s="264"/>
    </row>
    <row r="4" spans="1:5" ht="63.75">
      <c r="A4" s="159" t="s">
        <v>108</v>
      </c>
      <c r="B4" s="160" t="s">
        <v>109</v>
      </c>
      <c r="C4" s="160" t="s">
        <v>110</v>
      </c>
      <c r="D4" s="160" t="s">
        <v>111</v>
      </c>
      <c r="E4" s="161" t="s">
        <v>112</v>
      </c>
    </row>
    <row r="5" spans="1:5" ht="26.25" customHeight="1">
      <c r="A5" s="162" t="s">
        <v>150</v>
      </c>
      <c r="B5" s="184">
        <v>18500000</v>
      </c>
      <c r="C5" s="184">
        <v>1790000</v>
      </c>
      <c r="D5" s="163">
        <f>B5+C5</f>
        <v>20290000</v>
      </c>
      <c r="E5" s="164">
        <f>B5/B$8</f>
        <v>0.9158415841584159</v>
      </c>
    </row>
    <row r="6" spans="1:5" ht="26.25" customHeight="1">
      <c r="A6" s="162" t="s">
        <v>113</v>
      </c>
      <c r="B6" s="184">
        <v>1200000</v>
      </c>
      <c r="C6" s="184">
        <v>0</v>
      </c>
      <c r="D6" s="163">
        <f>B6+C6</f>
        <v>1200000</v>
      </c>
      <c r="E6" s="164">
        <f>B6/B$8</f>
        <v>0.0594059405940594</v>
      </c>
    </row>
    <row r="7" spans="1:5" ht="26.25" customHeight="1">
      <c r="A7" s="162" t="s">
        <v>152</v>
      </c>
      <c r="B7" s="184">
        <v>500000</v>
      </c>
      <c r="C7" s="184">
        <v>0</v>
      </c>
      <c r="D7" s="163">
        <f>B7+C7</f>
        <v>500000</v>
      </c>
      <c r="E7" s="164">
        <f>B7/B$8</f>
        <v>0.024752475247524754</v>
      </c>
    </row>
    <row r="8" spans="1:5" ht="12.75">
      <c r="A8" s="162" t="s">
        <v>35</v>
      </c>
      <c r="B8" s="165">
        <f>SUM(B5:B7)</f>
        <v>20200000</v>
      </c>
      <c r="C8" s="165">
        <f>SUM(C5:C7)</f>
        <v>1790000</v>
      </c>
      <c r="D8" s="165">
        <f>SUM(D5:D7)</f>
        <v>21990000</v>
      </c>
      <c r="E8" s="166">
        <f>SUM(E5:E7)</f>
        <v>1</v>
      </c>
    </row>
    <row r="9" ht="12.75"/>
    <row r="10" ht="12.75"/>
    <row r="11" ht="12.75">
      <c r="A11" s="167" t="s">
        <v>116</v>
      </c>
    </row>
    <row r="12" ht="12.75"/>
    <row r="13" spans="1:5" ht="38.25">
      <c r="A13" s="168" t="s">
        <v>117</v>
      </c>
      <c r="B13" s="160" t="s">
        <v>118</v>
      </c>
      <c r="C13" s="160" t="s">
        <v>109</v>
      </c>
      <c r="D13" s="160" t="s">
        <v>119</v>
      </c>
      <c r="E13" s="160" t="s">
        <v>110</v>
      </c>
    </row>
    <row r="14" spans="1:5" ht="12.75">
      <c r="A14" s="169">
        <f>'Peňažné toky projektu'!B28</f>
        <v>2010</v>
      </c>
      <c r="B14" s="185">
        <v>0.4</v>
      </c>
      <c r="C14" s="170">
        <f>$B$8*B14</f>
        <v>8080000</v>
      </c>
      <c r="D14" s="185">
        <v>0.8</v>
      </c>
      <c r="E14" s="170">
        <f>$C$8*D14</f>
        <v>1432000</v>
      </c>
    </row>
    <row r="15" spans="1:5" ht="12.75">
      <c r="A15" s="169">
        <f>A14+1</f>
        <v>2011</v>
      </c>
      <c r="B15" s="185">
        <v>0.4</v>
      </c>
      <c r="C15" s="170">
        <f aca="true" t="shared" si="0" ref="C15:C21">$B$8*B15</f>
        <v>8080000</v>
      </c>
      <c r="D15" s="185">
        <v>0.2</v>
      </c>
      <c r="E15" s="170">
        <f aca="true" t="shared" si="1" ref="E15:E21">$C$8*D15</f>
        <v>358000</v>
      </c>
    </row>
    <row r="16" spans="1:5" ht="12.75">
      <c r="A16" s="169">
        <f aca="true" t="shared" si="2" ref="A16:A21">A15+1</f>
        <v>2012</v>
      </c>
      <c r="B16" s="185">
        <v>0.2</v>
      </c>
      <c r="C16" s="170">
        <f t="shared" si="0"/>
        <v>4040000</v>
      </c>
      <c r="D16" s="185">
        <v>0</v>
      </c>
      <c r="E16" s="170">
        <f t="shared" si="1"/>
        <v>0</v>
      </c>
    </row>
    <row r="17" spans="1:5" ht="12.75">
      <c r="A17" s="169">
        <f t="shared" si="2"/>
        <v>2013</v>
      </c>
      <c r="B17" s="185">
        <v>0</v>
      </c>
      <c r="C17" s="170">
        <f t="shared" si="0"/>
        <v>0</v>
      </c>
      <c r="D17" s="185">
        <v>0</v>
      </c>
      <c r="E17" s="170">
        <f t="shared" si="1"/>
        <v>0</v>
      </c>
    </row>
    <row r="18" spans="1:5" ht="12.75">
      <c r="A18" s="169">
        <f t="shared" si="2"/>
        <v>2014</v>
      </c>
      <c r="B18" s="185">
        <v>0</v>
      </c>
      <c r="C18" s="170">
        <f t="shared" si="0"/>
        <v>0</v>
      </c>
      <c r="D18" s="185">
        <v>0</v>
      </c>
      <c r="E18" s="170">
        <f t="shared" si="1"/>
        <v>0</v>
      </c>
    </row>
    <row r="19" spans="1:5" ht="12.75">
      <c r="A19" s="169">
        <f t="shared" si="2"/>
        <v>2015</v>
      </c>
      <c r="B19" s="185">
        <v>0</v>
      </c>
      <c r="C19" s="170">
        <f t="shared" si="0"/>
        <v>0</v>
      </c>
      <c r="D19" s="185">
        <v>0</v>
      </c>
      <c r="E19" s="170">
        <f t="shared" si="1"/>
        <v>0</v>
      </c>
    </row>
    <row r="20" spans="1:5" ht="12.75">
      <c r="A20" s="169">
        <f t="shared" si="2"/>
        <v>2016</v>
      </c>
      <c r="B20" s="185">
        <v>0</v>
      </c>
      <c r="C20" s="170">
        <f t="shared" si="0"/>
        <v>0</v>
      </c>
      <c r="D20" s="185">
        <v>0</v>
      </c>
      <c r="E20" s="170">
        <f t="shared" si="1"/>
        <v>0</v>
      </c>
    </row>
    <row r="21" spans="1:5" ht="12.75">
      <c r="A21" s="169">
        <f t="shared" si="2"/>
        <v>2017</v>
      </c>
      <c r="B21" s="185">
        <v>0</v>
      </c>
      <c r="C21" s="170">
        <f t="shared" si="0"/>
        <v>0</v>
      </c>
      <c r="D21" s="185">
        <v>0</v>
      </c>
      <c r="E21" s="170">
        <f t="shared" si="1"/>
        <v>0</v>
      </c>
    </row>
    <row r="22" spans="1:5" ht="12.75">
      <c r="A22" s="171" t="s">
        <v>35</v>
      </c>
      <c r="B22" s="172">
        <f>SUM(B14:B21)</f>
        <v>1</v>
      </c>
      <c r="C22" s="170">
        <f>SUM(C14:C21)</f>
        <v>20200000</v>
      </c>
      <c r="D22" s="172">
        <f>SUM(D14:D21)</f>
        <v>1</v>
      </c>
      <c r="E22" s="170">
        <f>SUM(E14:E21)</f>
        <v>1790000</v>
      </c>
    </row>
    <row r="23" spans="1:5" ht="12.75">
      <c r="A23" s="173"/>
      <c r="B23" s="174"/>
      <c r="C23" s="175"/>
      <c r="D23" s="174"/>
      <c r="E23" s="175"/>
    </row>
    <row r="24" spans="1:5" ht="12.75">
      <c r="A24" s="173"/>
      <c r="B24" s="174"/>
      <c r="C24" s="175"/>
      <c r="D24" s="174"/>
      <c r="E24" s="175"/>
    </row>
    <row r="25" spans="1:5" ht="12.75">
      <c r="A25" s="173"/>
      <c r="B25" s="174"/>
      <c r="C25" s="175"/>
      <c r="D25" s="174"/>
      <c r="E25" s="175"/>
    </row>
    <row r="26" spans="1:5" ht="12.75" customHeight="1">
      <c r="A26" s="266" t="s">
        <v>131</v>
      </c>
      <c r="B26" s="267"/>
      <c r="C26" s="267"/>
      <c r="D26" s="267"/>
      <c r="E26" s="268"/>
    </row>
    <row r="27" spans="1:5" ht="12.75">
      <c r="A27" s="265" t="s">
        <v>124</v>
      </c>
      <c r="B27" s="265"/>
      <c r="C27" s="265"/>
      <c r="D27" s="261">
        <f>D8</f>
        <v>21990000</v>
      </c>
      <c r="E27" s="261"/>
    </row>
    <row r="28" spans="1:5" ht="12.75">
      <c r="A28" s="265" t="s">
        <v>125</v>
      </c>
      <c r="B28" s="265"/>
      <c r="C28" s="265"/>
      <c r="D28" s="261">
        <f>B8</f>
        <v>20200000</v>
      </c>
      <c r="E28" s="261"/>
    </row>
    <row r="29" spans="1:5" ht="12.75">
      <c r="A29" s="265" t="s">
        <v>126</v>
      </c>
      <c r="B29" s="265"/>
      <c r="C29" s="265"/>
      <c r="D29" s="261">
        <f>C8</f>
        <v>1790000</v>
      </c>
      <c r="E29" s="261"/>
    </row>
    <row r="30" spans="1:6" ht="12.75">
      <c r="A30" s="265" t="s">
        <v>127</v>
      </c>
      <c r="B30" s="265"/>
      <c r="C30" s="265"/>
      <c r="D30" s="261">
        <f>'Peňažné toky projektu'!J17*1000</f>
        <v>14375242.283770313</v>
      </c>
      <c r="E30" s="261"/>
      <c r="F30" s="194"/>
    </row>
    <row r="31" spans="1:5" ht="12.75">
      <c r="A31" s="265" t="s">
        <v>129</v>
      </c>
      <c r="B31" s="265"/>
      <c r="C31" s="265"/>
      <c r="D31" s="262">
        <f>'Peňažné toky projektu'!C24</f>
        <v>0.7116456576123918</v>
      </c>
      <c r="E31" s="263"/>
    </row>
    <row r="32" spans="1:5" ht="12.75">
      <c r="A32" s="265" t="s">
        <v>128</v>
      </c>
      <c r="B32" s="265"/>
      <c r="C32" s="265"/>
      <c r="D32" s="261">
        <f>D27-D30</f>
        <v>7614757.7162296865</v>
      </c>
      <c r="E32" s="261"/>
    </row>
    <row r="33" spans="1:5" ht="12.75">
      <c r="A33" s="265" t="s">
        <v>130</v>
      </c>
      <c r="B33" s="265"/>
      <c r="C33" s="265"/>
      <c r="D33" s="261">
        <f>'Peňažné toky projektu'!C7*1000</f>
        <v>4586680.08571349</v>
      </c>
      <c r="E33" s="261"/>
    </row>
    <row r="34" spans="1:5" ht="12.75">
      <c r="A34" s="175"/>
      <c r="B34" s="175"/>
      <c r="C34" s="175"/>
      <c r="D34" s="174"/>
      <c r="E34" s="175"/>
    </row>
    <row r="35" spans="1:5" ht="12.75">
      <c r="A35" s="175"/>
      <c r="B35" s="175"/>
      <c r="C35" s="175"/>
      <c r="D35" s="174"/>
      <c r="E35" s="175"/>
    </row>
    <row r="36" spans="1:5" ht="12.75">
      <c r="A36" s="173"/>
      <c r="B36" s="174"/>
      <c r="C36" s="175"/>
      <c r="D36" s="174"/>
      <c r="E36" s="175"/>
    </row>
    <row r="37" ht="11.25" customHeight="1"/>
    <row r="38" spans="1:7" s="176" customFormat="1" ht="12.75" hidden="1">
      <c r="A38" s="176" t="s">
        <v>120</v>
      </c>
      <c r="E38" s="56"/>
      <c r="F38" s="56"/>
      <c r="G38" s="99"/>
    </row>
    <row r="39" spans="1:7" s="176" customFormat="1" ht="0.75" customHeight="1" hidden="1">
      <c r="A39" s="177" t="s">
        <v>121</v>
      </c>
      <c r="B39" s="246">
        <v>0.028</v>
      </c>
      <c r="F39" s="56"/>
      <c r="G39" s="56"/>
    </row>
    <row r="40" spans="1:7" s="176" customFormat="1" ht="24" customHeight="1" hidden="1">
      <c r="A40" s="178" t="s">
        <v>117</v>
      </c>
      <c r="B40" s="179" t="s">
        <v>122</v>
      </c>
      <c r="C40" s="179" t="s">
        <v>109</v>
      </c>
      <c r="D40" s="179" t="s">
        <v>110</v>
      </c>
      <c r="E40" s="179" t="s">
        <v>156</v>
      </c>
      <c r="F40" s="179" t="s">
        <v>154</v>
      </c>
      <c r="G40" s="179" t="s">
        <v>155</v>
      </c>
    </row>
    <row r="41" spans="1:7" s="176" customFormat="1" ht="21.75" customHeight="1" hidden="1">
      <c r="A41" s="180">
        <f>'Peňažné toky projektu'!B28</f>
        <v>2010</v>
      </c>
      <c r="B41" s="181">
        <v>1</v>
      </c>
      <c r="C41" s="182">
        <f aca="true" t="shared" si="3" ref="C41:C48">C14/B41</f>
        <v>8080000</v>
      </c>
      <c r="D41" s="182">
        <f aca="true" t="shared" si="4" ref="D41:D48">E14/B41</f>
        <v>1432000</v>
      </c>
      <c r="E41" s="182">
        <f>($B$6+$B$7)*B14/B41</f>
        <v>680000</v>
      </c>
      <c r="F41" s="182">
        <f>($C$6+$C$7)*D14/B41</f>
        <v>0</v>
      </c>
      <c r="G41" s="182">
        <f>E41+F41</f>
        <v>680000</v>
      </c>
    </row>
    <row r="42" spans="1:7" s="176" customFormat="1" ht="30" customHeight="1" hidden="1">
      <c r="A42" s="180">
        <f>A41+1</f>
        <v>2011</v>
      </c>
      <c r="B42" s="181">
        <f>POWER(1+$B$39,A42-A$41)</f>
        <v>1.028</v>
      </c>
      <c r="C42" s="182">
        <f t="shared" si="3"/>
        <v>7859922.178988326</v>
      </c>
      <c r="D42" s="182">
        <f t="shared" si="4"/>
        <v>348249.0272373541</v>
      </c>
      <c r="E42" s="182">
        <f aca="true" t="shared" si="5" ref="E42:E48">($B$6+$B$7)*B15/B42</f>
        <v>661478.5992217899</v>
      </c>
      <c r="F42" s="182">
        <f aca="true" t="shared" si="6" ref="F42:F48">($C$6+$C$7)*D15/B42</f>
        <v>0</v>
      </c>
      <c r="G42" s="182">
        <f aca="true" t="shared" si="7" ref="G42:G48">E42+F42</f>
        <v>661478.5992217899</v>
      </c>
    </row>
    <row r="43" spans="1:7" s="176" customFormat="1" ht="39" customHeight="1" hidden="1">
      <c r="A43" s="180">
        <f aca="true" t="shared" si="8" ref="A43:A48">A42+1</f>
        <v>2012</v>
      </c>
      <c r="B43" s="181">
        <f aca="true" t="shared" si="9" ref="B43:B48">POWER(1+$B$39,A43-A$41)</f>
        <v>1.056784</v>
      </c>
      <c r="C43" s="182">
        <f t="shared" si="3"/>
        <v>3822919.3477569683</v>
      </c>
      <c r="D43" s="182">
        <f t="shared" si="4"/>
        <v>0</v>
      </c>
      <c r="E43" s="182">
        <f t="shared" si="5"/>
        <v>321730.8361973686</v>
      </c>
      <c r="F43" s="182">
        <f t="shared" si="6"/>
        <v>0</v>
      </c>
      <c r="G43" s="182">
        <f t="shared" si="7"/>
        <v>321730.8361973686</v>
      </c>
    </row>
    <row r="44" spans="1:7" s="176" customFormat="1" ht="19.5" customHeight="1" hidden="1">
      <c r="A44" s="180">
        <f t="shared" si="8"/>
        <v>2013</v>
      </c>
      <c r="B44" s="181">
        <f t="shared" si="9"/>
        <v>1.086373952</v>
      </c>
      <c r="C44" s="182">
        <f t="shared" si="3"/>
        <v>0</v>
      </c>
      <c r="D44" s="182">
        <f t="shared" si="4"/>
        <v>0</v>
      </c>
      <c r="E44" s="182">
        <f t="shared" si="5"/>
        <v>0</v>
      </c>
      <c r="F44" s="182">
        <f t="shared" si="6"/>
        <v>0</v>
      </c>
      <c r="G44" s="182">
        <f t="shared" si="7"/>
        <v>0</v>
      </c>
    </row>
    <row r="45" spans="1:7" s="176" customFormat="1" ht="33.75" customHeight="1" hidden="1">
      <c r="A45" s="180">
        <f t="shared" si="8"/>
        <v>2014</v>
      </c>
      <c r="B45" s="181">
        <f t="shared" si="9"/>
        <v>1.116792422656</v>
      </c>
      <c r="C45" s="182">
        <f t="shared" si="3"/>
        <v>0</v>
      </c>
      <c r="D45" s="182">
        <f t="shared" si="4"/>
        <v>0</v>
      </c>
      <c r="E45" s="182">
        <f t="shared" si="5"/>
        <v>0</v>
      </c>
      <c r="F45" s="182">
        <f t="shared" si="6"/>
        <v>0</v>
      </c>
      <c r="G45" s="182">
        <f t="shared" si="7"/>
        <v>0</v>
      </c>
    </row>
    <row r="46" spans="1:7" s="176" customFormat="1" ht="24" customHeight="1" hidden="1">
      <c r="A46" s="180">
        <f t="shared" si="8"/>
        <v>2015</v>
      </c>
      <c r="B46" s="181">
        <f t="shared" si="9"/>
        <v>1.148062610490368</v>
      </c>
      <c r="C46" s="182">
        <f t="shared" si="3"/>
        <v>0</v>
      </c>
      <c r="D46" s="182">
        <f t="shared" si="4"/>
        <v>0</v>
      </c>
      <c r="E46" s="182">
        <f t="shared" si="5"/>
        <v>0</v>
      </c>
      <c r="F46" s="182">
        <f t="shared" si="6"/>
        <v>0</v>
      </c>
      <c r="G46" s="182">
        <f t="shared" si="7"/>
        <v>0</v>
      </c>
    </row>
    <row r="47" spans="1:7" s="176" customFormat="1" ht="27.75" customHeight="1" hidden="1">
      <c r="A47" s="180">
        <f t="shared" si="8"/>
        <v>2016</v>
      </c>
      <c r="B47" s="181">
        <f t="shared" si="9"/>
        <v>1.1802083635840983</v>
      </c>
      <c r="C47" s="182">
        <f t="shared" si="3"/>
        <v>0</v>
      </c>
      <c r="D47" s="182">
        <f t="shared" si="4"/>
        <v>0</v>
      </c>
      <c r="E47" s="182">
        <f t="shared" si="5"/>
        <v>0</v>
      </c>
      <c r="F47" s="182">
        <f t="shared" si="6"/>
        <v>0</v>
      </c>
      <c r="G47" s="182">
        <f t="shared" si="7"/>
        <v>0</v>
      </c>
    </row>
    <row r="48" spans="1:7" s="176" customFormat="1" ht="33.75" customHeight="1" hidden="1">
      <c r="A48" s="180">
        <f t="shared" si="8"/>
        <v>2017</v>
      </c>
      <c r="B48" s="181">
        <f t="shared" si="9"/>
        <v>1.213254197764453</v>
      </c>
      <c r="C48" s="182">
        <f t="shared" si="3"/>
        <v>0</v>
      </c>
      <c r="D48" s="182">
        <f t="shared" si="4"/>
        <v>0</v>
      </c>
      <c r="E48" s="182">
        <f t="shared" si="5"/>
        <v>0</v>
      </c>
      <c r="F48" s="182">
        <f t="shared" si="6"/>
        <v>0</v>
      </c>
      <c r="G48" s="182">
        <f t="shared" si="7"/>
        <v>0</v>
      </c>
    </row>
    <row r="49" spans="1:7" s="176" customFormat="1" ht="43.5" customHeight="1" hidden="1">
      <c r="A49" s="183" t="s">
        <v>35</v>
      </c>
      <c r="B49" s="182"/>
      <c r="C49" s="182">
        <f>SUM(C41:C48)</f>
        <v>19762841.526745293</v>
      </c>
      <c r="D49" s="182">
        <f>SUM(D41:D48)</f>
        <v>1780249.027237354</v>
      </c>
      <c r="E49" s="182">
        <f>SUM(E41:E48)</f>
        <v>1663209.4354191583</v>
      </c>
      <c r="F49" s="182">
        <f>SUM(F41:F48)</f>
        <v>0</v>
      </c>
      <c r="G49" s="182">
        <f>SUM(G41:G48)</f>
        <v>1663209.4354191583</v>
      </c>
    </row>
    <row r="50" s="176" customFormat="1" ht="24" customHeight="1" hidden="1"/>
  </sheetData>
  <sheetProtection password="CA31" sheet="1" formatRows="0"/>
  <mergeCells count="16"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  <mergeCell ref="D29:E29"/>
    <mergeCell ref="D28:E28"/>
    <mergeCell ref="D33:E33"/>
    <mergeCell ref="D32:E32"/>
    <mergeCell ref="D31:E31"/>
    <mergeCell ref="D30:E30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37" customFormat="1" ht="12.75">
      <c r="A4" s="234" t="s">
        <v>201</v>
      </c>
      <c r="B4" s="235"/>
      <c r="C4" s="235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</row>
    <row r="5" spans="1:38" ht="12.75">
      <c r="A5" s="5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2:38" ht="12.75">
      <c r="B6" s="19"/>
      <c r="C6" s="34" t="s">
        <v>206</v>
      </c>
      <c r="D6" s="45">
        <v>0</v>
      </c>
      <c r="E6" s="45">
        <v>0</v>
      </c>
      <c r="F6" s="45">
        <v>12000</v>
      </c>
      <c r="G6" s="45">
        <v>12000</v>
      </c>
      <c r="H6" s="45">
        <v>12000</v>
      </c>
      <c r="I6" s="45">
        <v>12000</v>
      </c>
      <c r="J6" s="45">
        <v>12000</v>
      </c>
      <c r="K6" s="45">
        <v>12000</v>
      </c>
      <c r="L6" s="45">
        <v>12000</v>
      </c>
      <c r="M6" s="45">
        <v>12000</v>
      </c>
      <c r="N6" s="45">
        <v>12000</v>
      </c>
      <c r="O6" s="45">
        <v>12000</v>
      </c>
      <c r="P6" s="45">
        <v>12000</v>
      </c>
      <c r="Q6" s="45">
        <v>12000</v>
      </c>
      <c r="R6" s="45">
        <v>12000</v>
      </c>
      <c r="S6" s="45">
        <v>12000</v>
      </c>
      <c r="T6" s="45">
        <v>12000</v>
      </c>
      <c r="U6" s="45">
        <v>12000</v>
      </c>
      <c r="V6" s="45">
        <v>12000</v>
      </c>
      <c r="W6" s="45">
        <v>12000</v>
      </c>
      <c r="X6" s="45">
        <v>12000</v>
      </c>
      <c r="Y6" s="45">
        <v>12000</v>
      </c>
      <c r="Z6" s="45">
        <v>12000</v>
      </c>
      <c r="AA6" s="45">
        <v>12000</v>
      </c>
      <c r="AB6" s="45">
        <v>12000</v>
      </c>
      <c r="AC6" s="45">
        <v>12000</v>
      </c>
      <c r="AD6" s="45">
        <v>12000</v>
      </c>
      <c r="AE6" s="45">
        <v>12000</v>
      </c>
      <c r="AF6" s="45">
        <v>12000</v>
      </c>
      <c r="AG6" s="45">
        <v>12000</v>
      </c>
      <c r="AH6" s="45">
        <v>12000</v>
      </c>
      <c r="AI6" s="45">
        <v>12000</v>
      </c>
      <c r="AJ6" s="45">
        <v>0</v>
      </c>
      <c r="AK6" s="45">
        <v>0</v>
      </c>
      <c r="AL6" s="45">
        <v>0</v>
      </c>
    </row>
    <row r="7" spans="3:38" ht="12.75">
      <c r="C7" s="3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3:38" ht="12.75">
      <c r="C8" s="34" t="s">
        <v>207</v>
      </c>
      <c r="D8" s="45">
        <v>0</v>
      </c>
      <c r="E8" s="45">
        <v>0</v>
      </c>
      <c r="F8" s="45">
        <v>20000</v>
      </c>
      <c r="G8" s="45">
        <v>20000</v>
      </c>
      <c r="H8" s="45">
        <v>20000</v>
      </c>
      <c r="I8" s="45">
        <v>20000</v>
      </c>
      <c r="J8" s="45">
        <v>20000</v>
      </c>
      <c r="K8" s="45">
        <v>20000</v>
      </c>
      <c r="L8" s="45">
        <v>20000</v>
      </c>
      <c r="M8" s="45">
        <v>20000</v>
      </c>
      <c r="N8" s="45">
        <v>20000</v>
      </c>
      <c r="O8" s="45">
        <v>20000</v>
      </c>
      <c r="P8" s="45">
        <v>20000</v>
      </c>
      <c r="Q8" s="45">
        <v>20000</v>
      </c>
      <c r="R8" s="45">
        <v>20000</v>
      </c>
      <c r="S8" s="45">
        <v>20000</v>
      </c>
      <c r="T8" s="45">
        <v>20000</v>
      </c>
      <c r="U8" s="45">
        <v>20000</v>
      </c>
      <c r="V8" s="45">
        <v>20000</v>
      </c>
      <c r="W8" s="45">
        <v>20000</v>
      </c>
      <c r="X8" s="45">
        <v>20000</v>
      </c>
      <c r="Y8" s="45">
        <v>20000</v>
      </c>
      <c r="Z8" s="45">
        <v>20000</v>
      </c>
      <c r="AA8" s="45">
        <v>20000</v>
      </c>
      <c r="AB8" s="45">
        <v>20000</v>
      </c>
      <c r="AC8" s="45">
        <v>20000</v>
      </c>
      <c r="AD8" s="45">
        <v>20000</v>
      </c>
      <c r="AE8" s="45">
        <v>20000</v>
      </c>
      <c r="AF8" s="45">
        <v>20000</v>
      </c>
      <c r="AG8" s="45">
        <v>20000</v>
      </c>
      <c r="AH8" s="45">
        <v>20000</v>
      </c>
      <c r="AI8" s="45">
        <v>20000</v>
      </c>
      <c r="AJ8" s="45">
        <v>0</v>
      </c>
      <c r="AK8" s="45">
        <v>0</v>
      </c>
      <c r="AL8" s="45">
        <v>0</v>
      </c>
    </row>
    <row r="9" spans="3:38" ht="12.75">
      <c r="C9" s="3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3:38" ht="12.75">
      <c r="C10" s="34" t="s">
        <v>203</v>
      </c>
      <c r="D10" s="45">
        <v>0</v>
      </c>
      <c r="E10" s="45">
        <v>0</v>
      </c>
      <c r="F10" s="45">
        <v>15000</v>
      </c>
      <c r="G10" s="45">
        <v>15000</v>
      </c>
      <c r="H10" s="45">
        <v>15000</v>
      </c>
      <c r="I10" s="45">
        <v>15000</v>
      </c>
      <c r="J10" s="45">
        <v>15000</v>
      </c>
      <c r="K10" s="45">
        <v>17000</v>
      </c>
      <c r="L10" s="45">
        <v>17000</v>
      </c>
      <c r="M10" s="45">
        <v>17000</v>
      </c>
      <c r="N10" s="45">
        <v>17000</v>
      </c>
      <c r="O10" s="45">
        <v>17000</v>
      </c>
      <c r="P10" s="45">
        <v>20000</v>
      </c>
      <c r="Q10" s="45">
        <v>20000</v>
      </c>
      <c r="R10" s="45">
        <v>20000</v>
      </c>
      <c r="S10" s="45">
        <v>20000</v>
      </c>
      <c r="T10" s="45">
        <v>20000</v>
      </c>
      <c r="U10" s="45">
        <v>20000</v>
      </c>
      <c r="V10" s="45">
        <v>20000</v>
      </c>
      <c r="W10" s="45">
        <v>20000</v>
      </c>
      <c r="X10" s="45">
        <v>20000</v>
      </c>
      <c r="Y10" s="45">
        <v>20000</v>
      </c>
      <c r="Z10" s="45">
        <v>20000</v>
      </c>
      <c r="AA10" s="45">
        <v>20000</v>
      </c>
      <c r="AB10" s="45">
        <v>20000</v>
      </c>
      <c r="AC10" s="45">
        <v>20000</v>
      </c>
      <c r="AD10" s="45">
        <v>20000</v>
      </c>
      <c r="AE10" s="45">
        <v>20000</v>
      </c>
      <c r="AF10" s="45">
        <v>20000</v>
      </c>
      <c r="AG10" s="45">
        <v>20000</v>
      </c>
      <c r="AH10" s="45">
        <v>20000</v>
      </c>
      <c r="AI10" s="45">
        <v>20000</v>
      </c>
      <c r="AJ10" s="45">
        <v>0</v>
      </c>
      <c r="AK10" s="45">
        <v>0</v>
      </c>
      <c r="AL10" s="45">
        <v>0</v>
      </c>
    </row>
    <row r="11" spans="1:38" ht="12.75">
      <c r="A11" s="7"/>
      <c r="C11" s="3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2.75">
      <c r="A12" s="7"/>
      <c r="C12" s="34" t="s">
        <v>202</v>
      </c>
      <c r="D12" s="45">
        <v>0</v>
      </c>
      <c r="E12" s="45">
        <v>0</v>
      </c>
      <c r="F12" s="45">
        <v>6000</v>
      </c>
      <c r="G12" s="45">
        <v>6000</v>
      </c>
      <c r="H12" s="45">
        <v>6000</v>
      </c>
      <c r="I12" s="45">
        <v>6000</v>
      </c>
      <c r="J12" s="45">
        <v>6000</v>
      </c>
      <c r="K12" s="45">
        <v>6000</v>
      </c>
      <c r="L12" s="45">
        <v>6000</v>
      </c>
      <c r="M12" s="45">
        <v>6000</v>
      </c>
      <c r="N12" s="45">
        <v>6000</v>
      </c>
      <c r="O12" s="45">
        <v>6000</v>
      </c>
      <c r="P12" s="45">
        <v>6000</v>
      </c>
      <c r="Q12" s="45">
        <v>6000</v>
      </c>
      <c r="R12" s="45">
        <v>6000</v>
      </c>
      <c r="S12" s="45">
        <v>6000</v>
      </c>
      <c r="T12" s="45">
        <v>6000</v>
      </c>
      <c r="U12" s="45">
        <v>6000</v>
      </c>
      <c r="V12" s="45">
        <v>6000</v>
      </c>
      <c r="W12" s="45">
        <v>6000</v>
      </c>
      <c r="X12" s="45">
        <v>6000</v>
      </c>
      <c r="Y12" s="45">
        <v>6000</v>
      </c>
      <c r="Z12" s="45">
        <v>6000</v>
      </c>
      <c r="AA12" s="45">
        <v>6000</v>
      </c>
      <c r="AB12" s="45">
        <v>6000</v>
      </c>
      <c r="AC12" s="45">
        <v>6000</v>
      </c>
      <c r="AD12" s="45">
        <v>6000</v>
      </c>
      <c r="AE12" s="45">
        <v>6000</v>
      </c>
      <c r="AF12" s="45">
        <v>6000</v>
      </c>
      <c r="AG12" s="45">
        <v>6000</v>
      </c>
      <c r="AH12" s="45">
        <v>6000</v>
      </c>
      <c r="AI12" s="45">
        <v>6000</v>
      </c>
      <c r="AJ12" s="45">
        <v>0</v>
      </c>
      <c r="AK12" s="45">
        <v>0</v>
      </c>
      <c r="AL12" s="45">
        <v>0</v>
      </c>
    </row>
    <row r="13" spans="1:38" ht="12.75">
      <c r="A13" s="7"/>
      <c r="C13" s="3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2.75">
      <c r="A14" s="7"/>
      <c r="B14" s="19"/>
      <c r="C14" s="34" t="s">
        <v>69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2.75">
      <c r="A16" s="7"/>
      <c r="C16" s="34" t="s">
        <v>70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204</v>
      </c>
      <c r="D18" s="227">
        <f aca="true" t="shared" si="1" ref="D18:P18">D6+D8+D10+D12+D14+D16</f>
        <v>0</v>
      </c>
      <c r="E18" s="227">
        <f t="shared" si="1"/>
        <v>0</v>
      </c>
      <c r="F18" s="227">
        <f t="shared" si="1"/>
        <v>53000</v>
      </c>
      <c r="G18" s="227">
        <f t="shared" si="1"/>
        <v>53000</v>
      </c>
      <c r="H18" s="227">
        <f t="shared" si="1"/>
        <v>53000</v>
      </c>
      <c r="I18" s="227">
        <f t="shared" si="1"/>
        <v>53000</v>
      </c>
      <c r="J18" s="227">
        <f t="shared" si="1"/>
        <v>53000</v>
      </c>
      <c r="K18" s="227">
        <f t="shared" si="1"/>
        <v>55000</v>
      </c>
      <c r="L18" s="227">
        <f t="shared" si="1"/>
        <v>55000</v>
      </c>
      <c r="M18" s="227">
        <f t="shared" si="1"/>
        <v>55000</v>
      </c>
      <c r="N18" s="227">
        <f t="shared" si="1"/>
        <v>55000</v>
      </c>
      <c r="O18" s="227">
        <f t="shared" si="1"/>
        <v>55000</v>
      </c>
      <c r="P18" s="227">
        <f t="shared" si="1"/>
        <v>58000</v>
      </c>
      <c r="Q18" s="227">
        <f aca="true" t="shared" si="2" ref="Q18:AI18">Q6+Q8+Q10+Q12+Q14+Q16</f>
        <v>58000</v>
      </c>
      <c r="R18" s="227">
        <f t="shared" si="2"/>
        <v>58000</v>
      </c>
      <c r="S18" s="227">
        <f t="shared" si="2"/>
        <v>58000</v>
      </c>
      <c r="T18" s="227">
        <f t="shared" si="2"/>
        <v>58000</v>
      </c>
      <c r="U18" s="227">
        <f t="shared" si="2"/>
        <v>58000</v>
      </c>
      <c r="V18" s="227">
        <f t="shared" si="2"/>
        <v>58000</v>
      </c>
      <c r="W18" s="227">
        <f t="shared" si="2"/>
        <v>58000</v>
      </c>
      <c r="X18" s="227">
        <f t="shared" si="2"/>
        <v>58000</v>
      </c>
      <c r="Y18" s="227">
        <f t="shared" si="2"/>
        <v>58000</v>
      </c>
      <c r="Z18" s="227">
        <f t="shared" si="2"/>
        <v>58000</v>
      </c>
      <c r="AA18" s="227">
        <f t="shared" si="2"/>
        <v>58000</v>
      </c>
      <c r="AB18" s="227">
        <f t="shared" si="2"/>
        <v>58000</v>
      </c>
      <c r="AC18" s="227">
        <f t="shared" si="2"/>
        <v>58000</v>
      </c>
      <c r="AD18" s="227">
        <f t="shared" si="2"/>
        <v>58000</v>
      </c>
      <c r="AE18" s="227">
        <f t="shared" si="2"/>
        <v>58000</v>
      </c>
      <c r="AF18" s="227">
        <f t="shared" si="2"/>
        <v>58000</v>
      </c>
      <c r="AG18" s="227">
        <f t="shared" si="2"/>
        <v>58000</v>
      </c>
      <c r="AH18" s="227">
        <f t="shared" si="2"/>
        <v>58000</v>
      </c>
      <c r="AI18" s="227">
        <f t="shared" si="2"/>
        <v>58000</v>
      </c>
      <c r="AJ18" s="227">
        <f>AJ6+AJ8+AJ10+AJ12+AJ14+AJ16</f>
        <v>0</v>
      </c>
      <c r="AK18" s="227">
        <f>AK6+AK8+AK10+AK12+AK14+AK16</f>
        <v>0</v>
      </c>
      <c r="AL18" s="227">
        <f>AL6+AL8+AL10+AL12+AL14+AL16</f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237" customFormat="1" ht="12.75">
      <c r="A21" s="238" t="s">
        <v>205</v>
      </c>
      <c r="B21" s="235"/>
      <c r="C21" s="235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28"/>
      <c r="C23" s="34" t="s">
        <v>209</v>
      </c>
      <c r="D23" s="229">
        <f>('Príjmy z prevádzky'!D13+'Príjmy z prevádzky'!D17)/'Príjmy z prevádzky'!D11</f>
        <v>0</v>
      </c>
      <c r="E23" s="229">
        <f>('Príjmy z prevádzky'!E13+'Príjmy z prevádzky'!E17)/'Príjmy z prevádzky'!E11</f>
        <v>0</v>
      </c>
      <c r="F23" s="229">
        <f>('Príjmy z prevádzky'!F13+'Príjmy z prevádzky'!F17)/'Príjmy z prevádzky'!F11</f>
        <v>425.65235776512236</v>
      </c>
      <c r="G23" s="229">
        <f>('Príjmy z prevádzky'!G13+'Príjmy z prevádzky'!G17)/'Príjmy z prevádzky'!G11</f>
        <v>811.2011929651225</v>
      </c>
      <c r="H23" s="229">
        <f>('Príjmy z prevádzky'!H13+'Príjmy z prevádzky'!H17)/'Príjmy z prevádzky'!H11</f>
        <v>845.4456708657623</v>
      </c>
      <c r="I23" s="229">
        <f>('Príjmy z prevádzky'!I13+'Príjmy z prevádzky'!I17)/'Príjmy z prevádzky'!I11</f>
        <v>869.6163815631431</v>
      </c>
      <c r="J23" s="229">
        <f>('Príjmy z prevádzky'!J13+'Príjmy z prevádzky'!J17)/'Príjmy z prevádzky'!J11</f>
        <v>872.9101464583351</v>
      </c>
      <c r="K23" s="229">
        <f>('Príjmy z prevádzky'!K13+'Príjmy z prevádzky'!K17)/'Príjmy z prevádzky'!K11</f>
        <v>873.7368814470284</v>
      </c>
      <c r="L23" s="229">
        <f>('Príjmy z prevádzky'!L13+'Príjmy z prevádzky'!L17)/'Príjmy z prevádzky'!L11</f>
        <v>873.7368814470284</v>
      </c>
      <c r="M23" s="229">
        <f>('Príjmy z prevádzky'!M13+'Príjmy z prevádzky'!M17)/'Príjmy z prevádzky'!M11</f>
        <v>873.7368814470284</v>
      </c>
      <c r="N23" s="229">
        <f>('Príjmy z prevádzky'!N13+'Príjmy z prevádzky'!N17)/'Príjmy z prevádzky'!N11</f>
        <v>873.7368814470284</v>
      </c>
      <c r="O23" s="229">
        <f>('Príjmy z prevádzky'!O13+'Príjmy z prevádzky'!O17)/'Príjmy z prevádzky'!O11</f>
        <v>873.7368814470284</v>
      </c>
      <c r="P23" s="229">
        <f>('Príjmy z prevádzky'!P13+'Príjmy z prevádzky'!P17)/'Príjmy z prevádzky'!P11</f>
        <v>873.7368814470284</v>
      </c>
      <c r="Q23" s="229">
        <f>('Príjmy z prevádzky'!Q13+'Príjmy z prevádzky'!Q17)/'Príjmy z prevádzky'!Q11</f>
        <v>873.7368814470284</v>
      </c>
      <c r="R23" s="229">
        <f>('Príjmy z prevádzky'!R13+'Príjmy z prevádzky'!R17)/'Príjmy z prevádzky'!R11</f>
        <v>873.7368814470284</v>
      </c>
      <c r="S23" s="229">
        <f>('Príjmy z prevádzky'!S13+'Príjmy z prevádzky'!S17)/'Príjmy z prevádzky'!S11</f>
        <v>873.7368814470284</v>
      </c>
      <c r="T23" s="229">
        <f>('Príjmy z prevádzky'!T13+'Príjmy z prevádzky'!T17)/'Príjmy z prevádzky'!T11</f>
        <v>873.7368814470284</v>
      </c>
      <c r="U23" s="229">
        <f>('Príjmy z prevádzky'!U13+'Príjmy z prevádzky'!U17)/'Príjmy z prevádzky'!U11</f>
        <v>873.7368814470284</v>
      </c>
      <c r="V23" s="229">
        <f>('Príjmy z prevádzky'!V13+'Príjmy z prevádzky'!V17)/'Príjmy z prevádzky'!V11</f>
        <v>873.7368814470284</v>
      </c>
      <c r="W23" s="229">
        <f>('Príjmy z prevádzky'!W13+'Príjmy z prevádzky'!W17)/'Príjmy z prevádzky'!W11</f>
        <v>873.7368814470284</v>
      </c>
      <c r="X23" s="229">
        <f>('Príjmy z prevádzky'!X13+'Príjmy z prevádzky'!X17)/'Príjmy z prevádzky'!X11</f>
        <v>873.7368814470284</v>
      </c>
      <c r="Y23" s="229">
        <f>('Príjmy z prevádzky'!Y13+'Príjmy z prevádzky'!Y17)/'Príjmy z prevádzky'!Y11</f>
        <v>873.7368814470284</v>
      </c>
      <c r="Z23" s="229">
        <f>('Príjmy z prevádzky'!Z13+'Príjmy z prevádzky'!Z17)/'Príjmy z prevádzky'!Z11</f>
        <v>873.7368814470284</v>
      </c>
      <c r="AA23" s="229">
        <f>('Príjmy z prevádzky'!AA13+'Príjmy z prevádzky'!AA17)/'Príjmy z prevádzky'!AA11</f>
        <v>873.7368814470284</v>
      </c>
      <c r="AB23" s="229">
        <f>('Príjmy z prevádzky'!AB13+'Príjmy z prevádzky'!AB17)/'Príjmy z prevádzky'!AB11</f>
        <v>873.7368814470284</v>
      </c>
      <c r="AC23" s="229">
        <f>('Príjmy z prevádzky'!AC13+'Príjmy z prevádzky'!AC17)/'Príjmy z prevádzky'!AC11</f>
        <v>873.7368814470284</v>
      </c>
      <c r="AD23" s="229">
        <f>('Príjmy z prevádzky'!AD13+'Príjmy z prevádzky'!AD17)/'Príjmy z prevádzky'!AD11</f>
        <v>873.7368814470284</v>
      </c>
      <c r="AE23" s="229">
        <f>('Príjmy z prevádzky'!AE13+'Príjmy z prevádzky'!AE17)/'Príjmy z prevádzky'!AE11</f>
        <v>873.7368814470284</v>
      </c>
      <c r="AF23" s="229">
        <f>('Príjmy z prevádzky'!AF13+'Príjmy z prevádzky'!AF17)/'Príjmy z prevádzky'!AF11</f>
        <v>873.7368814470284</v>
      </c>
      <c r="AG23" s="229">
        <f>('Príjmy z prevádzky'!AG13+'Príjmy z prevádzky'!AG17)/'Príjmy z prevádzky'!AG11</f>
        <v>873.7368814470284</v>
      </c>
      <c r="AH23" s="229">
        <f>('Príjmy z prevádzky'!AH13+'Príjmy z prevádzky'!AH17)/'Príjmy z prevádzky'!AH11</f>
        <v>873.7368814470284</v>
      </c>
      <c r="AI23" s="229">
        <f>('Príjmy z prevádzky'!AI13+'Príjmy z prevádzky'!AI17)/'Príjmy z prevádzky'!AI11</f>
        <v>873.7368814470284</v>
      </c>
      <c r="AJ23" s="227"/>
      <c r="AK23" s="227"/>
      <c r="AL23" s="227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23" t="s">
        <v>213</v>
      </c>
      <c r="D25" s="45">
        <v>0</v>
      </c>
      <c r="E25" s="45">
        <v>0</v>
      </c>
      <c r="F25" s="225">
        <v>0.1</v>
      </c>
      <c r="G25" s="225">
        <v>0.1</v>
      </c>
      <c r="H25" s="225">
        <v>0.1</v>
      </c>
      <c r="I25" s="225">
        <v>0.1</v>
      </c>
      <c r="J25" s="225">
        <v>0.1</v>
      </c>
      <c r="K25" s="225">
        <v>0.1</v>
      </c>
      <c r="L25" s="225">
        <v>0.1</v>
      </c>
      <c r="M25" s="225">
        <v>0.1</v>
      </c>
      <c r="N25" s="225">
        <v>0.1</v>
      </c>
      <c r="O25" s="225">
        <v>0.1</v>
      </c>
      <c r="P25" s="225">
        <v>0.1</v>
      </c>
      <c r="Q25" s="225">
        <v>0.1</v>
      </c>
      <c r="R25" s="225">
        <v>0.1</v>
      </c>
      <c r="S25" s="225">
        <v>0.1</v>
      </c>
      <c r="T25" s="225">
        <v>0.1</v>
      </c>
      <c r="U25" s="225">
        <v>0.1</v>
      </c>
      <c r="V25" s="225">
        <v>0.1</v>
      </c>
      <c r="W25" s="225">
        <v>0.1</v>
      </c>
      <c r="X25" s="225">
        <v>0.1</v>
      </c>
      <c r="Y25" s="225">
        <v>0.1</v>
      </c>
      <c r="Z25" s="225">
        <v>0.1</v>
      </c>
      <c r="AA25" s="225">
        <v>0.1</v>
      </c>
      <c r="AB25" s="225">
        <v>0.1</v>
      </c>
      <c r="AC25" s="225">
        <v>0.1</v>
      </c>
      <c r="AD25" s="225">
        <v>0.1</v>
      </c>
      <c r="AE25" s="225">
        <v>0.1</v>
      </c>
      <c r="AF25" s="225">
        <v>0.1</v>
      </c>
      <c r="AG25" s="225">
        <v>0.1</v>
      </c>
      <c r="AH25" s="225">
        <v>0.1</v>
      </c>
      <c r="AI25" s="225">
        <v>0.1</v>
      </c>
      <c r="AJ25" s="20"/>
      <c r="AK25" s="20"/>
      <c r="AL25" s="20"/>
    </row>
    <row r="26" spans="3:38" ht="12.75">
      <c r="C26" s="9" t="s">
        <v>214</v>
      </c>
      <c r="D26" s="229">
        <f aca="true" t="shared" si="3" ref="D26:I26">D23*D25</f>
        <v>0</v>
      </c>
      <c r="E26" s="229">
        <f t="shared" si="3"/>
        <v>0</v>
      </c>
      <c r="F26" s="229">
        <f t="shared" si="3"/>
        <v>42.56523577651224</v>
      </c>
      <c r="G26" s="229">
        <f t="shared" si="3"/>
        <v>81.12011929651226</v>
      </c>
      <c r="H26" s="229">
        <f t="shared" si="3"/>
        <v>84.54456708657624</v>
      </c>
      <c r="I26" s="229">
        <f t="shared" si="3"/>
        <v>86.96163815631432</v>
      </c>
      <c r="J26" s="229">
        <f aca="true" t="shared" si="4" ref="J26:AI26">J23*J25</f>
        <v>87.29101464583351</v>
      </c>
      <c r="K26" s="229">
        <f t="shared" si="4"/>
        <v>87.37368814470284</v>
      </c>
      <c r="L26" s="229">
        <f t="shared" si="4"/>
        <v>87.37368814470284</v>
      </c>
      <c r="M26" s="229">
        <f t="shared" si="4"/>
        <v>87.37368814470284</v>
      </c>
      <c r="N26" s="229">
        <f t="shared" si="4"/>
        <v>87.37368814470284</v>
      </c>
      <c r="O26" s="229">
        <f t="shared" si="4"/>
        <v>87.37368814470284</v>
      </c>
      <c r="P26" s="229">
        <f t="shared" si="4"/>
        <v>87.37368814470284</v>
      </c>
      <c r="Q26" s="229">
        <f t="shared" si="4"/>
        <v>87.37368814470284</v>
      </c>
      <c r="R26" s="229">
        <f t="shared" si="4"/>
        <v>87.37368814470284</v>
      </c>
      <c r="S26" s="229">
        <f t="shared" si="4"/>
        <v>87.37368814470284</v>
      </c>
      <c r="T26" s="229">
        <f t="shared" si="4"/>
        <v>87.37368814470284</v>
      </c>
      <c r="U26" s="229">
        <f t="shared" si="4"/>
        <v>87.37368814470284</v>
      </c>
      <c r="V26" s="229">
        <f t="shared" si="4"/>
        <v>87.37368814470284</v>
      </c>
      <c r="W26" s="229">
        <f t="shared" si="4"/>
        <v>87.37368814470284</v>
      </c>
      <c r="X26" s="229">
        <f t="shared" si="4"/>
        <v>87.37368814470284</v>
      </c>
      <c r="Y26" s="229">
        <f t="shared" si="4"/>
        <v>87.37368814470284</v>
      </c>
      <c r="Z26" s="229">
        <f t="shared" si="4"/>
        <v>87.37368814470284</v>
      </c>
      <c r="AA26" s="229">
        <f t="shared" si="4"/>
        <v>87.37368814470284</v>
      </c>
      <c r="AB26" s="229">
        <f t="shared" si="4"/>
        <v>87.37368814470284</v>
      </c>
      <c r="AC26" s="229">
        <f t="shared" si="4"/>
        <v>87.37368814470284</v>
      </c>
      <c r="AD26" s="229">
        <f t="shared" si="4"/>
        <v>87.37368814470284</v>
      </c>
      <c r="AE26" s="229">
        <f t="shared" si="4"/>
        <v>87.37368814470284</v>
      </c>
      <c r="AF26" s="229">
        <f t="shared" si="4"/>
        <v>87.37368814470284</v>
      </c>
      <c r="AG26" s="229">
        <f t="shared" si="4"/>
        <v>87.37368814470284</v>
      </c>
      <c r="AH26" s="229">
        <f t="shared" si="4"/>
        <v>87.37368814470284</v>
      </c>
      <c r="AI26" s="229">
        <f t="shared" si="4"/>
        <v>87.37368814470284</v>
      </c>
      <c r="AJ26" s="229">
        <f>AJ23*AJ25</f>
        <v>0</v>
      </c>
      <c r="AK26" s="229">
        <f>AK23*AK25</f>
        <v>0</v>
      </c>
      <c r="AL26" s="229">
        <f>AL23*AL25</f>
        <v>0</v>
      </c>
    </row>
    <row r="27" spans="1:38" ht="12.75">
      <c r="A27" s="7"/>
      <c r="B27" s="7"/>
      <c r="C27" s="9" t="s">
        <v>215</v>
      </c>
      <c r="D27" s="45">
        <v>0</v>
      </c>
      <c r="E27" s="45">
        <v>0</v>
      </c>
      <c r="F27" s="45">
        <v>250</v>
      </c>
      <c r="G27" s="45">
        <v>250</v>
      </c>
      <c r="H27" s="45">
        <v>250</v>
      </c>
      <c r="I27" s="45">
        <v>250</v>
      </c>
      <c r="J27" s="45">
        <v>250</v>
      </c>
      <c r="K27" s="45">
        <v>250</v>
      </c>
      <c r="L27" s="45">
        <v>250</v>
      </c>
      <c r="M27" s="45">
        <v>250</v>
      </c>
      <c r="N27" s="45">
        <v>250</v>
      </c>
      <c r="O27" s="45">
        <v>250</v>
      </c>
      <c r="P27" s="45">
        <v>250</v>
      </c>
      <c r="Q27" s="45">
        <v>250</v>
      </c>
      <c r="R27" s="45">
        <v>250</v>
      </c>
      <c r="S27" s="45">
        <v>250</v>
      </c>
      <c r="T27" s="45">
        <v>250</v>
      </c>
      <c r="U27" s="45">
        <v>250</v>
      </c>
      <c r="V27" s="45">
        <v>250</v>
      </c>
      <c r="W27" s="45">
        <v>250</v>
      </c>
      <c r="X27" s="45">
        <v>250</v>
      </c>
      <c r="Y27" s="45">
        <v>250</v>
      </c>
      <c r="Z27" s="45">
        <v>250</v>
      </c>
      <c r="AA27" s="45">
        <v>250</v>
      </c>
      <c r="AB27" s="45">
        <v>250</v>
      </c>
      <c r="AC27" s="45">
        <v>250</v>
      </c>
      <c r="AD27" s="45">
        <v>250</v>
      </c>
      <c r="AE27" s="45">
        <v>250</v>
      </c>
      <c r="AF27" s="45">
        <v>250</v>
      </c>
      <c r="AG27" s="45">
        <v>250</v>
      </c>
      <c r="AH27" s="45">
        <v>250</v>
      </c>
      <c r="AI27" s="45">
        <v>250</v>
      </c>
      <c r="AJ27" s="45">
        <v>0</v>
      </c>
      <c r="AK27" s="45">
        <v>0</v>
      </c>
      <c r="AL27" s="45">
        <v>0</v>
      </c>
    </row>
    <row r="28" spans="1:38" ht="12.75">
      <c r="A28" s="7"/>
      <c r="B28" s="269" t="s">
        <v>208</v>
      </c>
      <c r="C28" s="269"/>
      <c r="D28" s="46">
        <f>D26*D27</f>
        <v>0</v>
      </c>
      <c r="E28" s="46">
        <f>E26*E27</f>
        <v>0</v>
      </c>
      <c r="F28" s="46">
        <f>F26*F27</f>
        <v>10641.308944128059</v>
      </c>
      <c r="G28" s="46">
        <f aca="true" t="shared" si="5" ref="G28:L28">G26*G27</f>
        <v>20280.029824128065</v>
      </c>
      <c r="H28" s="46">
        <f t="shared" si="5"/>
        <v>21136.14177164406</v>
      </c>
      <c r="I28" s="46">
        <f t="shared" si="5"/>
        <v>21740.40953907858</v>
      </c>
      <c r="J28" s="46">
        <f t="shared" si="5"/>
        <v>21822.753661458377</v>
      </c>
      <c r="K28" s="46">
        <f t="shared" si="5"/>
        <v>21843.42203617571</v>
      </c>
      <c r="L28" s="46">
        <f t="shared" si="5"/>
        <v>21843.42203617571</v>
      </c>
      <c r="M28" s="46">
        <f aca="true" t="shared" si="6" ref="M28:AI28">M26*M27</f>
        <v>21843.42203617571</v>
      </c>
      <c r="N28" s="46">
        <f t="shared" si="6"/>
        <v>21843.42203617571</v>
      </c>
      <c r="O28" s="46">
        <f t="shared" si="6"/>
        <v>21843.42203617571</v>
      </c>
      <c r="P28" s="46">
        <f t="shared" si="6"/>
        <v>21843.42203617571</v>
      </c>
      <c r="Q28" s="46">
        <f t="shared" si="6"/>
        <v>21843.42203617571</v>
      </c>
      <c r="R28" s="46">
        <f t="shared" si="6"/>
        <v>21843.42203617571</v>
      </c>
      <c r="S28" s="46">
        <f t="shared" si="6"/>
        <v>21843.42203617571</v>
      </c>
      <c r="T28" s="46">
        <f t="shared" si="6"/>
        <v>21843.42203617571</v>
      </c>
      <c r="U28" s="46">
        <f t="shared" si="6"/>
        <v>21843.42203617571</v>
      </c>
      <c r="V28" s="46">
        <f t="shared" si="6"/>
        <v>21843.42203617571</v>
      </c>
      <c r="W28" s="46">
        <f t="shared" si="6"/>
        <v>21843.42203617571</v>
      </c>
      <c r="X28" s="46">
        <f t="shared" si="6"/>
        <v>21843.42203617571</v>
      </c>
      <c r="Y28" s="46">
        <f t="shared" si="6"/>
        <v>21843.42203617571</v>
      </c>
      <c r="Z28" s="46">
        <f t="shared" si="6"/>
        <v>21843.42203617571</v>
      </c>
      <c r="AA28" s="46">
        <f t="shared" si="6"/>
        <v>21843.42203617571</v>
      </c>
      <c r="AB28" s="46">
        <f t="shared" si="6"/>
        <v>21843.42203617571</v>
      </c>
      <c r="AC28" s="46">
        <f t="shared" si="6"/>
        <v>21843.42203617571</v>
      </c>
      <c r="AD28" s="46">
        <f t="shared" si="6"/>
        <v>21843.42203617571</v>
      </c>
      <c r="AE28" s="46">
        <f t="shared" si="6"/>
        <v>21843.42203617571</v>
      </c>
      <c r="AF28" s="46">
        <f t="shared" si="6"/>
        <v>21843.42203617571</v>
      </c>
      <c r="AG28" s="46">
        <f t="shared" si="6"/>
        <v>21843.42203617571</v>
      </c>
      <c r="AH28" s="46">
        <f t="shared" si="6"/>
        <v>21843.42203617571</v>
      </c>
      <c r="AI28" s="46">
        <f t="shared" si="6"/>
        <v>21843.42203617571</v>
      </c>
      <c r="AJ28" s="46">
        <f>AJ26*AJ27</f>
        <v>0</v>
      </c>
      <c r="AK28" s="46">
        <f>AK26*AK27</f>
        <v>0</v>
      </c>
      <c r="AL28" s="46">
        <f>AL26*AL27</f>
        <v>0</v>
      </c>
    </row>
    <row r="29" spans="1:38" ht="12.75">
      <c r="A29" s="7"/>
      <c r="B29" s="34"/>
      <c r="C29" s="3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23" t="s">
        <v>216</v>
      </c>
      <c r="D30" s="231">
        <v>0</v>
      </c>
      <c r="E30" s="231">
        <v>0</v>
      </c>
      <c r="F30" s="232">
        <v>72.5</v>
      </c>
      <c r="G30" s="232">
        <v>72.5</v>
      </c>
      <c r="H30" s="232">
        <v>72.5</v>
      </c>
      <c r="I30" s="232">
        <v>72.5</v>
      </c>
      <c r="J30" s="232">
        <v>72.5</v>
      </c>
      <c r="K30" s="232">
        <v>72.5</v>
      </c>
      <c r="L30" s="232">
        <v>72.5</v>
      </c>
      <c r="M30" s="232">
        <v>72.5</v>
      </c>
      <c r="N30" s="232">
        <v>72.5</v>
      </c>
      <c r="O30" s="232">
        <v>72.5</v>
      </c>
      <c r="P30" s="232">
        <v>72.5</v>
      </c>
      <c r="Q30" s="232">
        <v>72.5</v>
      </c>
      <c r="R30" s="232">
        <v>72.5</v>
      </c>
      <c r="S30" s="232">
        <v>72.5</v>
      </c>
      <c r="T30" s="232">
        <v>72.5</v>
      </c>
      <c r="U30" s="232">
        <v>72.5</v>
      </c>
      <c r="V30" s="232">
        <v>72.5</v>
      </c>
      <c r="W30" s="232">
        <v>72.5</v>
      </c>
      <c r="X30" s="232">
        <v>72.5</v>
      </c>
      <c r="Y30" s="232">
        <v>72.5</v>
      </c>
      <c r="Z30" s="232">
        <v>72.5</v>
      </c>
      <c r="AA30" s="232">
        <v>72.5</v>
      </c>
      <c r="AB30" s="232">
        <v>72.5</v>
      </c>
      <c r="AC30" s="232">
        <v>72.5</v>
      </c>
      <c r="AD30" s="232">
        <v>72.5</v>
      </c>
      <c r="AE30" s="232">
        <v>72.5</v>
      </c>
      <c r="AF30" s="232">
        <v>72.5</v>
      </c>
      <c r="AG30" s="232">
        <v>72.5</v>
      </c>
      <c r="AH30" s="232">
        <v>72.5</v>
      </c>
      <c r="AI30" s="232">
        <v>72.5</v>
      </c>
      <c r="AJ30" s="46"/>
      <c r="AK30" s="46"/>
      <c r="AL30" s="46"/>
    </row>
    <row r="31" spans="1:38" ht="12.75">
      <c r="A31" s="7"/>
      <c r="B31" s="7"/>
      <c r="C31" s="9" t="s">
        <v>218</v>
      </c>
      <c r="D31" s="46">
        <f>D23*D30/1000</f>
        <v>0</v>
      </c>
      <c r="E31" s="46">
        <f aca="true" t="shared" si="7" ref="E31:N31">E23*E30/1000</f>
        <v>0</v>
      </c>
      <c r="F31" s="230">
        <f t="shared" si="7"/>
        <v>30.859795937971374</v>
      </c>
      <c r="G31" s="230">
        <f t="shared" si="7"/>
        <v>58.81208648997138</v>
      </c>
      <c r="H31" s="230">
        <f t="shared" si="7"/>
        <v>61.294811137767766</v>
      </c>
      <c r="I31" s="230">
        <f t="shared" si="7"/>
        <v>63.04718766332788</v>
      </c>
      <c r="J31" s="230">
        <f t="shared" si="7"/>
        <v>63.2859856182293</v>
      </c>
      <c r="K31" s="230">
        <f t="shared" si="7"/>
        <v>63.345923904909554</v>
      </c>
      <c r="L31" s="230">
        <f t="shared" si="7"/>
        <v>63.345923904909554</v>
      </c>
      <c r="M31" s="230">
        <f t="shared" si="7"/>
        <v>63.345923904909554</v>
      </c>
      <c r="N31" s="230">
        <f t="shared" si="7"/>
        <v>63.345923904909554</v>
      </c>
      <c r="O31" s="230">
        <f aca="true" t="shared" si="8" ref="O31:AL31">O23*O30/1000</f>
        <v>63.345923904909554</v>
      </c>
      <c r="P31" s="230">
        <f t="shared" si="8"/>
        <v>63.345923904909554</v>
      </c>
      <c r="Q31" s="230">
        <f t="shared" si="8"/>
        <v>63.345923904909554</v>
      </c>
      <c r="R31" s="230">
        <f t="shared" si="8"/>
        <v>63.345923904909554</v>
      </c>
      <c r="S31" s="230">
        <f t="shared" si="8"/>
        <v>63.345923904909554</v>
      </c>
      <c r="T31" s="230">
        <f t="shared" si="8"/>
        <v>63.345923904909554</v>
      </c>
      <c r="U31" s="230">
        <f t="shared" si="8"/>
        <v>63.345923904909554</v>
      </c>
      <c r="V31" s="230">
        <f t="shared" si="8"/>
        <v>63.345923904909554</v>
      </c>
      <c r="W31" s="230">
        <f t="shared" si="8"/>
        <v>63.345923904909554</v>
      </c>
      <c r="X31" s="230">
        <f t="shared" si="8"/>
        <v>63.345923904909554</v>
      </c>
      <c r="Y31" s="230">
        <f t="shared" si="8"/>
        <v>63.345923904909554</v>
      </c>
      <c r="Z31" s="230">
        <f t="shared" si="8"/>
        <v>63.345923904909554</v>
      </c>
      <c r="AA31" s="230">
        <f t="shared" si="8"/>
        <v>63.345923904909554</v>
      </c>
      <c r="AB31" s="230">
        <f t="shared" si="8"/>
        <v>63.345923904909554</v>
      </c>
      <c r="AC31" s="230">
        <f t="shared" si="8"/>
        <v>63.345923904909554</v>
      </c>
      <c r="AD31" s="230">
        <f t="shared" si="8"/>
        <v>63.345923904909554</v>
      </c>
      <c r="AE31" s="230">
        <f t="shared" si="8"/>
        <v>63.345923904909554</v>
      </c>
      <c r="AF31" s="230">
        <f t="shared" si="8"/>
        <v>63.345923904909554</v>
      </c>
      <c r="AG31" s="230">
        <f t="shared" si="8"/>
        <v>63.345923904909554</v>
      </c>
      <c r="AH31" s="230">
        <f t="shared" si="8"/>
        <v>63.345923904909554</v>
      </c>
      <c r="AI31" s="230">
        <f t="shared" si="8"/>
        <v>63.345923904909554</v>
      </c>
      <c r="AJ31" s="46">
        <f t="shared" si="8"/>
        <v>0</v>
      </c>
      <c r="AK31" s="46">
        <f t="shared" si="8"/>
        <v>0</v>
      </c>
      <c r="AL31" s="46">
        <f t="shared" si="8"/>
        <v>0</v>
      </c>
    </row>
    <row r="32" spans="1:38" ht="12.75">
      <c r="A32" s="7"/>
      <c r="B32" s="7"/>
      <c r="C32" s="223" t="s">
        <v>221</v>
      </c>
      <c r="D32" s="45">
        <v>0</v>
      </c>
      <c r="E32" s="45">
        <v>0</v>
      </c>
      <c r="F32" s="45">
        <v>500</v>
      </c>
      <c r="G32" s="45">
        <v>500</v>
      </c>
      <c r="H32" s="45">
        <v>500</v>
      </c>
      <c r="I32" s="45">
        <v>500</v>
      </c>
      <c r="J32" s="45">
        <v>500</v>
      </c>
      <c r="K32" s="45">
        <v>500</v>
      </c>
      <c r="L32" s="45">
        <v>500</v>
      </c>
      <c r="M32" s="45">
        <v>500</v>
      </c>
      <c r="N32" s="45">
        <v>500</v>
      </c>
      <c r="O32" s="45">
        <v>500</v>
      </c>
      <c r="P32" s="45">
        <v>500</v>
      </c>
      <c r="Q32" s="45">
        <v>500</v>
      </c>
      <c r="R32" s="45">
        <v>500</v>
      </c>
      <c r="S32" s="45">
        <v>500</v>
      </c>
      <c r="T32" s="45">
        <v>500</v>
      </c>
      <c r="U32" s="45">
        <v>500</v>
      </c>
      <c r="V32" s="45">
        <v>500</v>
      </c>
      <c r="W32" s="45">
        <v>500</v>
      </c>
      <c r="X32" s="45">
        <v>500</v>
      </c>
      <c r="Y32" s="45">
        <v>500</v>
      </c>
      <c r="Z32" s="45">
        <v>500</v>
      </c>
      <c r="AA32" s="45">
        <v>500</v>
      </c>
      <c r="AB32" s="45">
        <v>500</v>
      </c>
      <c r="AC32" s="45">
        <v>500</v>
      </c>
      <c r="AD32" s="45">
        <v>500</v>
      </c>
      <c r="AE32" s="45">
        <v>500</v>
      </c>
      <c r="AF32" s="45">
        <v>500</v>
      </c>
      <c r="AG32" s="45">
        <v>500</v>
      </c>
      <c r="AH32" s="45">
        <v>500</v>
      </c>
      <c r="AI32" s="45">
        <v>500</v>
      </c>
      <c r="AJ32" s="45">
        <v>0</v>
      </c>
      <c r="AK32" s="45">
        <v>0</v>
      </c>
      <c r="AL32" s="45">
        <v>0</v>
      </c>
    </row>
    <row r="33" spans="1:38" ht="12.75">
      <c r="A33" s="7"/>
      <c r="B33" s="269" t="s">
        <v>217</v>
      </c>
      <c r="C33" s="269"/>
      <c r="D33" s="46">
        <f aca="true" t="shared" si="9" ref="D33:N33">D31*D32</f>
        <v>0</v>
      </c>
      <c r="E33" s="46">
        <f t="shared" si="9"/>
        <v>0</v>
      </c>
      <c r="F33" s="46">
        <f t="shared" si="9"/>
        <v>15429.897968985686</v>
      </c>
      <c r="G33" s="46">
        <f t="shared" si="9"/>
        <v>29406.04324498569</v>
      </c>
      <c r="H33" s="46">
        <f t="shared" si="9"/>
        <v>30647.40556888388</v>
      </c>
      <c r="I33" s="46">
        <f t="shared" si="9"/>
        <v>31523.59383166394</v>
      </c>
      <c r="J33" s="46">
        <f t="shared" si="9"/>
        <v>31642.99280911465</v>
      </c>
      <c r="K33" s="46">
        <f t="shared" si="9"/>
        <v>31672.961952454778</v>
      </c>
      <c r="L33" s="46">
        <f t="shared" si="9"/>
        <v>31672.961952454778</v>
      </c>
      <c r="M33" s="46">
        <f t="shared" si="9"/>
        <v>31672.961952454778</v>
      </c>
      <c r="N33" s="46">
        <f t="shared" si="9"/>
        <v>31672.961952454778</v>
      </c>
      <c r="O33" s="46">
        <f aca="true" t="shared" si="10" ref="O33:AI33">O31*O32</f>
        <v>31672.961952454778</v>
      </c>
      <c r="P33" s="46">
        <f t="shared" si="10"/>
        <v>31672.961952454778</v>
      </c>
      <c r="Q33" s="46">
        <f t="shared" si="10"/>
        <v>31672.961952454778</v>
      </c>
      <c r="R33" s="46">
        <f t="shared" si="10"/>
        <v>31672.961952454778</v>
      </c>
      <c r="S33" s="46">
        <f t="shared" si="10"/>
        <v>31672.961952454778</v>
      </c>
      <c r="T33" s="46">
        <f t="shared" si="10"/>
        <v>31672.961952454778</v>
      </c>
      <c r="U33" s="46">
        <f t="shared" si="10"/>
        <v>31672.961952454778</v>
      </c>
      <c r="V33" s="46">
        <f t="shared" si="10"/>
        <v>31672.961952454778</v>
      </c>
      <c r="W33" s="46">
        <f t="shared" si="10"/>
        <v>31672.961952454778</v>
      </c>
      <c r="X33" s="46">
        <f t="shared" si="10"/>
        <v>31672.961952454778</v>
      </c>
      <c r="Y33" s="46">
        <f t="shared" si="10"/>
        <v>31672.961952454778</v>
      </c>
      <c r="Z33" s="46">
        <f t="shared" si="10"/>
        <v>31672.961952454778</v>
      </c>
      <c r="AA33" s="46">
        <f t="shared" si="10"/>
        <v>31672.961952454778</v>
      </c>
      <c r="AB33" s="46">
        <f t="shared" si="10"/>
        <v>31672.961952454778</v>
      </c>
      <c r="AC33" s="46">
        <f t="shared" si="10"/>
        <v>31672.961952454778</v>
      </c>
      <c r="AD33" s="46">
        <f t="shared" si="10"/>
        <v>31672.961952454778</v>
      </c>
      <c r="AE33" s="46">
        <f t="shared" si="10"/>
        <v>31672.961952454778</v>
      </c>
      <c r="AF33" s="46">
        <f t="shared" si="10"/>
        <v>31672.961952454778</v>
      </c>
      <c r="AG33" s="46">
        <f t="shared" si="10"/>
        <v>31672.961952454778</v>
      </c>
      <c r="AH33" s="46">
        <f t="shared" si="10"/>
        <v>31672.961952454778</v>
      </c>
      <c r="AI33" s="46">
        <f t="shared" si="10"/>
        <v>31672.961952454778</v>
      </c>
      <c r="AJ33" s="46">
        <f>AJ31*AJ32</f>
        <v>0</v>
      </c>
      <c r="AK33" s="46">
        <f>AK31*AK32</f>
        <v>0</v>
      </c>
      <c r="AL33" s="46">
        <f>AL31*AL32</f>
        <v>0</v>
      </c>
    </row>
    <row r="34" spans="1:38" ht="12.75">
      <c r="A34" s="7"/>
      <c r="B34" s="9"/>
      <c r="C34" s="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269" t="s">
        <v>27</v>
      </c>
      <c r="C37" s="269"/>
      <c r="D37" s="46">
        <f aca="true" t="shared" si="11" ref="D37:AL37">D35*D36</f>
        <v>0</v>
      </c>
      <c r="E37" s="46">
        <f t="shared" si="11"/>
        <v>0</v>
      </c>
      <c r="F37" s="46">
        <f t="shared" si="11"/>
        <v>0</v>
      </c>
      <c r="G37" s="46">
        <f t="shared" si="11"/>
        <v>0</v>
      </c>
      <c r="H37" s="46">
        <f t="shared" si="11"/>
        <v>0</v>
      </c>
      <c r="I37" s="46">
        <f t="shared" si="11"/>
        <v>0</v>
      </c>
      <c r="J37" s="46">
        <f t="shared" si="11"/>
        <v>0</v>
      </c>
      <c r="K37" s="46">
        <f t="shared" si="11"/>
        <v>0</v>
      </c>
      <c r="L37" s="46">
        <f t="shared" si="11"/>
        <v>0</v>
      </c>
      <c r="M37" s="46">
        <f t="shared" si="11"/>
        <v>0</v>
      </c>
      <c r="N37" s="46">
        <f t="shared" si="11"/>
        <v>0</v>
      </c>
      <c r="O37" s="46">
        <f t="shared" si="11"/>
        <v>0</v>
      </c>
      <c r="P37" s="46">
        <f t="shared" si="11"/>
        <v>0</v>
      </c>
      <c r="Q37" s="46">
        <f t="shared" si="11"/>
        <v>0</v>
      </c>
      <c r="R37" s="46">
        <f t="shared" si="11"/>
        <v>0</v>
      </c>
      <c r="S37" s="46">
        <f t="shared" si="11"/>
        <v>0</v>
      </c>
      <c r="T37" s="46">
        <f t="shared" si="11"/>
        <v>0</v>
      </c>
      <c r="U37" s="46">
        <f t="shared" si="11"/>
        <v>0</v>
      </c>
      <c r="V37" s="46">
        <f t="shared" si="11"/>
        <v>0</v>
      </c>
      <c r="W37" s="46">
        <f t="shared" si="11"/>
        <v>0</v>
      </c>
      <c r="X37" s="46">
        <f t="shared" si="11"/>
        <v>0</v>
      </c>
      <c r="Y37" s="46">
        <f t="shared" si="11"/>
        <v>0</v>
      </c>
      <c r="Z37" s="46">
        <f t="shared" si="11"/>
        <v>0</v>
      </c>
      <c r="AA37" s="46">
        <f t="shared" si="11"/>
        <v>0</v>
      </c>
      <c r="AB37" s="46">
        <f t="shared" si="11"/>
        <v>0</v>
      </c>
      <c r="AC37" s="46">
        <f t="shared" si="11"/>
        <v>0</v>
      </c>
      <c r="AD37" s="46">
        <f t="shared" si="11"/>
        <v>0</v>
      </c>
      <c r="AE37" s="46">
        <f t="shared" si="11"/>
        <v>0</v>
      </c>
      <c r="AF37" s="46">
        <f t="shared" si="11"/>
        <v>0</v>
      </c>
      <c r="AG37" s="46">
        <f t="shared" si="11"/>
        <v>0</v>
      </c>
      <c r="AH37" s="46">
        <f t="shared" si="11"/>
        <v>0</v>
      </c>
      <c r="AI37" s="46">
        <f t="shared" si="11"/>
        <v>0</v>
      </c>
      <c r="AJ37" s="46">
        <f t="shared" si="11"/>
        <v>0</v>
      </c>
      <c r="AK37" s="46">
        <f t="shared" si="11"/>
        <v>0</v>
      </c>
      <c r="AL37" s="46">
        <f t="shared" si="11"/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269" t="s">
        <v>27</v>
      </c>
      <c r="C41" s="269"/>
      <c r="D41" s="46">
        <f aca="true" t="shared" si="12" ref="D41:AL41">D39*D40</f>
        <v>0</v>
      </c>
      <c r="E41" s="46">
        <f t="shared" si="12"/>
        <v>0</v>
      </c>
      <c r="F41" s="46">
        <f t="shared" si="12"/>
        <v>0</v>
      </c>
      <c r="G41" s="46">
        <f t="shared" si="12"/>
        <v>0</v>
      </c>
      <c r="H41" s="46">
        <f t="shared" si="12"/>
        <v>0</v>
      </c>
      <c r="I41" s="46">
        <f t="shared" si="12"/>
        <v>0</v>
      </c>
      <c r="J41" s="46">
        <f t="shared" si="12"/>
        <v>0</v>
      </c>
      <c r="K41" s="46">
        <f t="shared" si="12"/>
        <v>0</v>
      </c>
      <c r="L41" s="46">
        <f t="shared" si="12"/>
        <v>0</v>
      </c>
      <c r="M41" s="46">
        <f t="shared" si="12"/>
        <v>0</v>
      </c>
      <c r="N41" s="46">
        <f t="shared" si="12"/>
        <v>0</v>
      </c>
      <c r="O41" s="46">
        <f t="shared" si="12"/>
        <v>0</v>
      </c>
      <c r="P41" s="46">
        <f t="shared" si="12"/>
        <v>0</v>
      </c>
      <c r="Q41" s="46">
        <f t="shared" si="12"/>
        <v>0</v>
      </c>
      <c r="R41" s="46">
        <f t="shared" si="12"/>
        <v>0</v>
      </c>
      <c r="S41" s="46">
        <f t="shared" si="12"/>
        <v>0</v>
      </c>
      <c r="T41" s="46">
        <f t="shared" si="12"/>
        <v>0</v>
      </c>
      <c r="U41" s="46">
        <f t="shared" si="12"/>
        <v>0</v>
      </c>
      <c r="V41" s="46">
        <f t="shared" si="12"/>
        <v>0</v>
      </c>
      <c r="W41" s="46">
        <f t="shared" si="12"/>
        <v>0</v>
      </c>
      <c r="X41" s="46">
        <f t="shared" si="12"/>
        <v>0</v>
      </c>
      <c r="Y41" s="46">
        <f t="shared" si="12"/>
        <v>0</v>
      </c>
      <c r="Z41" s="46">
        <f t="shared" si="12"/>
        <v>0</v>
      </c>
      <c r="AA41" s="46">
        <f t="shared" si="12"/>
        <v>0</v>
      </c>
      <c r="AB41" s="46">
        <f t="shared" si="12"/>
        <v>0</v>
      </c>
      <c r="AC41" s="46">
        <f t="shared" si="12"/>
        <v>0</v>
      </c>
      <c r="AD41" s="46">
        <f t="shared" si="12"/>
        <v>0</v>
      </c>
      <c r="AE41" s="46">
        <f t="shared" si="12"/>
        <v>0</v>
      </c>
      <c r="AF41" s="46">
        <f t="shared" si="12"/>
        <v>0</v>
      </c>
      <c r="AG41" s="46">
        <f t="shared" si="12"/>
        <v>0</v>
      </c>
      <c r="AH41" s="46">
        <f t="shared" si="12"/>
        <v>0</v>
      </c>
      <c r="AI41" s="46">
        <f t="shared" si="12"/>
        <v>0</v>
      </c>
      <c r="AJ41" s="46">
        <f t="shared" si="12"/>
        <v>0</v>
      </c>
      <c r="AK41" s="46">
        <f t="shared" si="12"/>
        <v>0</v>
      </c>
      <c r="AL41" s="46">
        <f t="shared" si="12"/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28"/>
      <c r="C43" s="228"/>
      <c r="D43" s="233">
        <f aca="true" t="shared" si="13" ref="D43:AL43">D28+D33+D37+D41</f>
        <v>0</v>
      </c>
      <c r="E43" s="233">
        <f t="shared" si="13"/>
        <v>0</v>
      </c>
      <c r="F43" s="233">
        <f t="shared" si="13"/>
        <v>26071.206913113747</v>
      </c>
      <c r="G43" s="233">
        <f t="shared" si="13"/>
        <v>49686.07306911376</v>
      </c>
      <c r="H43" s="233">
        <f t="shared" si="13"/>
        <v>51783.54734052794</v>
      </c>
      <c r="I43" s="233">
        <f t="shared" si="13"/>
        <v>53264.00337074252</v>
      </c>
      <c r="J43" s="233">
        <f t="shared" si="13"/>
        <v>53465.74647057302</v>
      </c>
      <c r="K43" s="233">
        <f t="shared" si="13"/>
        <v>53516.38398863049</v>
      </c>
      <c r="L43" s="233">
        <f t="shared" si="13"/>
        <v>53516.38398863049</v>
      </c>
      <c r="M43" s="233">
        <f t="shared" si="13"/>
        <v>53516.38398863049</v>
      </c>
      <c r="N43" s="233">
        <f t="shared" si="13"/>
        <v>53516.38398863049</v>
      </c>
      <c r="O43" s="233">
        <f t="shared" si="13"/>
        <v>53516.38398863049</v>
      </c>
      <c r="P43" s="233">
        <f t="shared" si="13"/>
        <v>53516.38398863049</v>
      </c>
      <c r="Q43" s="233">
        <f t="shared" si="13"/>
        <v>53516.38398863049</v>
      </c>
      <c r="R43" s="233">
        <f t="shared" si="13"/>
        <v>53516.38398863049</v>
      </c>
      <c r="S43" s="233">
        <f t="shared" si="13"/>
        <v>53516.38398863049</v>
      </c>
      <c r="T43" s="233">
        <f t="shared" si="13"/>
        <v>53516.38398863049</v>
      </c>
      <c r="U43" s="233">
        <f t="shared" si="13"/>
        <v>53516.38398863049</v>
      </c>
      <c r="V43" s="233">
        <f t="shared" si="13"/>
        <v>53516.38398863049</v>
      </c>
      <c r="W43" s="233">
        <f t="shared" si="13"/>
        <v>53516.38398863049</v>
      </c>
      <c r="X43" s="233">
        <f t="shared" si="13"/>
        <v>53516.38398863049</v>
      </c>
      <c r="Y43" s="233">
        <f t="shared" si="13"/>
        <v>53516.38398863049</v>
      </c>
      <c r="Z43" s="233">
        <f t="shared" si="13"/>
        <v>53516.38398863049</v>
      </c>
      <c r="AA43" s="233">
        <f t="shared" si="13"/>
        <v>53516.38398863049</v>
      </c>
      <c r="AB43" s="233">
        <f t="shared" si="13"/>
        <v>53516.38398863049</v>
      </c>
      <c r="AC43" s="233">
        <f t="shared" si="13"/>
        <v>53516.38398863049</v>
      </c>
      <c r="AD43" s="233">
        <f t="shared" si="13"/>
        <v>53516.38398863049</v>
      </c>
      <c r="AE43" s="233">
        <f t="shared" si="13"/>
        <v>53516.38398863049</v>
      </c>
      <c r="AF43" s="233">
        <f t="shared" si="13"/>
        <v>53516.38398863049</v>
      </c>
      <c r="AG43" s="233">
        <f t="shared" si="13"/>
        <v>53516.38398863049</v>
      </c>
      <c r="AH43" s="233">
        <f t="shared" si="13"/>
        <v>53516.38398863049</v>
      </c>
      <c r="AI43" s="233">
        <f t="shared" si="13"/>
        <v>53516.38398863049</v>
      </c>
      <c r="AJ43" s="233">
        <f t="shared" si="13"/>
        <v>0</v>
      </c>
      <c r="AK43" s="233">
        <f t="shared" si="13"/>
        <v>0</v>
      </c>
      <c r="AL43" s="233">
        <f t="shared" si="13"/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210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211</v>
      </c>
      <c r="D46" s="45">
        <v>0</v>
      </c>
      <c r="E46" s="45">
        <v>0</v>
      </c>
      <c r="F46" s="225">
        <v>4.8</v>
      </c>
      <c r="G46" s="225">
        <v>4.8</v>
      </c>
      <c r="H46" s="225">
        <v>4.8</v>
      </c>
      <c r="I46" s="225">
        <v>4.8</v>
      </c>
      <c r="J46" s="225">
        <v>4.8</v>
      </c>
      <c r="K46" s="225">
        <v>4.8</v>
      </c>
      <c r="L46" s="225">
        <v>4.8</v>
      </c>
      <c r="M46" s="225">
        <v>4.8</v>
      </c>
      <c r="N46" s="225">
        <v>4.8</v>
      </c>
      <c r="O46" s="225">
        <v>4.8</v>
      </c>
      <c r="P46" s="225">
        <v>4.8</v>
      </c>
      <c r="Q46" s="225">
        <v>4.8</v>
      </c>
      <c r="R46" s="225">
        <v>4.8</v>
      </c>
      <c r="S46" s="225">
        <v>4.8</v>
      </c>
      <c r="T46" s="225">
        <v>4.8</v>
      </c>
      <c r="U46" s="225">
        <v>4.8</v>
      </c>
      <c r="V46" s="225">
        <v>4.8</v>
      </c>
      <c r="W46" s="225">
        <v>4.8</v>
      </c>
      <c r="X46" s="225">
        <v>4.8</v>
      </c>
      <c r="Y46" s="225">
        <v>4.8</v>
      </c>
      <c r="Z46" s="225">
        <v>4.8</v>
      </c>
      <c r="AA46" s="225">
        <v>4.8</v>
      </c>
      <c r="AB46" s="225">
        <v>4.8</v>
      </c>
      <c r="AC46" s="225">
        <v>4.8</v>
      </c>
      <c r="AD46" s="225">
        <v>4.8</v>
      </c>
      <c r="AE46" s="225">
        <v>4.8</v>
      </c>
      <c r="AF46" s="225">
        <v>4.8</v>
      </c>
      <c r="AG46" s="225">
        <v>4.8</v>
      </c>
      <c r="AH46" s="225">
        <v>4.8</v>
      </c>
      <c r="AI46" s="225">
        <v>4.8</v>
      </c>
      <c r="AJ46" s="45">
        <v>0</v>
      </c>
      <c r="AK46" s="45">
        <v>0</v>
      </c>
      <c r="AL46" s="45">
        <v>0</v>
      </c>
    </row>
    <row r="47" spans="1:38" ht="12.75">
      <c r="A47" s="7"/>
      <c r="B47" s="269" t="s">
        <v>212</v>
      </c>
      <c r="C47" s="269"/>
      <c r="D47" s="46">
        <f aca="true" t="shared" si="14" ref="D47:O47">D45*D46</f>
        <v>0</v>
      </c>
      <c r="E47" s="46">
        <f t="shared" si="14"/>
        <v>0</v>
      </c>
      <c r="F47" s="46">
        <f t="shared" si="14"/>
        <v>124800</v>
      </c>
      <c r="G47" s="46">
        <f t="shared" si="14"/>
        <v>163200</v>
      </c>
      <c r="H47" s="46">
        <f t="shared" si="14"/>
        <v>163200</v>
      </c>
      <c r="I47" s="46">
        <f t="shared" si="14"/>
        <v>163200</v>
      </c>
      <c r="J47" s="46">
        <f t="shared" si="14"/>
        <v>163200</v>
      </c>
      <c r="K47" s="46">
        <f t="shared" si="14"/>
        <v>163200</v>
      </c>
      <c r="L47" s="46">
        <f t="shared" si="14"/>
        <v>163200</v>
      </c>
      <c r="M47" s="46">
        <f t="shared" si="14"/>
        <v>163200</v>
      </c>
      <c r="N47" s="46">
        <f t="shared" si="14"/>
        <v>163200</v>
      </c>
      <c r="O47" s="46">
        <f t="shared" si="14"/>
        <v>163200</v>
      </c>
      <c r="P47" s="46">
        <f aca="true" t="shared" si="15" ref="P47:AI47">P45*P46</f>
        <v>163200</v>
      </c>
      <c r="Q47" s="46">
        <f t="shared" si="15"/>
        <v>163200</v>
      </c>
      <c r="R47" s="46">
        <f t="shared" si="15"/>
        <v>163200</v>
      </c>
      <c r="S47" s="46">
        <f t="shared" si="15"/>
        <v>163200</v>
      </c>
      <c r="T47" s="46">
        <f t="shared" si="15"/>
        <v>163200</v>
      </c>
      <c r="U47" s="46">
        <f t="shared" si="15"/>
        <v>163200</v>
      </c>
      <c r="V47" s="46">
        <f t="shared" si="15"/>
        <v>163200</v>
      </c>
      <c r="W47" s="46">
        <f t="shared" si="15"/>
        <v>163200</v>
      </c>
      <c r="X47" s="46">
        <f t="shared" si="15"/>
        <v>163200</v>
      </c>
      <c r="Y47" s="46">
        <f t="shared" si="15"/>
        <v>163200</v>
      </c>
      <c r="Z47" s="46">
        <f t="shared" si="15"/>
        <v>163200</v>
      </c>
      <c r="AA47" s="46">
        <f t="shared" si="15"/>
        <v>163200</v>
      </c>
      <c r="AB47" s="46">
        <f t="shared" si="15"/>
        <v>163200</v>
      </c>
      <c r="AC47" s="46">
        <f t="shared" si="15"/>
        <v>163200</v>
      </c>
      <c r="AD47" s="46">
        <f t="shared" si="15"/>
        <v>163200</v>
      </c>
      <c r="AE47" s="46">
        <f t="shared" si="15"/>
        <v>163200</v>
      </c>
      <c r="AF47" s="46">
        <f t="shared" si="15"/>
        <v>163200</v>
      </c>
      <c r="AG47" s="46">
        <f t="shared" si="15"/>
        <v>163200</v>
      </c>
      <c r="AH47" s="46">
        <f t="shared" si="15"/>
        <v>163200</v>
      </c>
      <c r="AI47" s="46">
        <f t="shared" si="15"/>
        <v>163200</v>
      </c>
      <c r="AJ47" s="46">
        <f>AJ45*AJ46</f>
        <v>0</v>
      </c>
      <c r="AK47" s="46">
        <f>AK45*AK46</f>
        <v>0</v>
      </c>
      <c r="AL47" s="46">
        <f>AL45*AL46</f>
        <v>0</v>
      </c>
    </row>
    <row r="48" spans="1:38" ht="12.75">
      <c r="A48" s="7"/>
      <c r="B48" s="9"/>
      <c r="C48" s="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269" t="s">
        <v>27</v>
      </c>
      <c r="C51" s="269"/>
      <c r="D51" s="46">
        <f aca="true" t="shared" si="16" ref="D51:AL51">D49*D50</f>
        <v>0</v>
      </c>
      <c r="E51" s="46">
        <f t="shared" si="16"/>
        <v>0</v>
      </c>
      <c r="F51" s="46">
        <f t="shared" si="16"/>
        <v>0</v>
      </c>
      <c r="G51" s="46">
        <f t="shared" si="16"/>
        <v>0</v>
      </c>
      <c r="H51" s="46">
        <f t="shared" si="16"/>
        <v>0</v>
      </c>
      <c r="I51" s="46">
        <f t="shared" si="16"/>
        <v>0</v>
      </c>
      <c r="J51" s="46">
        <f t="shared" si="16"/>
        <v>0</v>
      </c>
      <c r="K51" s="46">
        <f t="shared" si="16"/>
        <v>0</v>
      </c>
      <c r="L51" s="46">
        <f t="shared" si="16"/>
        <v>0</v>
      </c>
      <c r="M51" s="46">
        <f t="shared" si="16"/>
        <v>0</v>
      </c>
      <c r="N51" s="46">
        <f t="shared" si="16"/>
        <v>0</v>
      </c>
      <c r="O51" s="46">
        <f t="shared" si="16"/>
        <v>0</v>
      </c>
      <c r="P51" s="46">
        <f t="shared" si="16"/>
        <v>0</v>
      </c>
      <c r="Q51" s="46">
        <f t="shared" si="16"/>
        <v>0</v>
      </c>
      <c r="R51" s="46">
        <f t="shared" si="16"/>
        <v>0</v>
      </c>
      <c r="S51" s="46">
        <f t="shared" si="16"/>
        <v>0</v>
      </c>
      <c r="T51" s="46">
        <f t="shared" si="16"/>
        <v>0</v>
      </c>
      <c r="U51" s="46">
        <f t="shared" si="16"/>
        <v>0</v>
      </c>
      <c r="V51" s="46">
        <f t="shared" si="16"/>
        <v>0</v>
      </c>
      <c r="W51" s="46">
        <f t="shared" si="16"/>
        <v>0</v>
      </c>
      <c r="X51" s="46">
        <f t="shared" si="16"/>
        <v>0</v>
      </c>
      <c r="Y51" s="46">
        <f t="shared" si="16"/>
        <v>0</v>
      </c>
      <c r="Z51" s="46">
        <f t="shared" si="16"/>
        <v>0</v>
      </c>
      <c r="AA51" s="46">
        <f t="shared" si="16"/>
        <v>0</v>
      </c>
      <c r="AB51" s="46">
        <f t="shared" si="16"/>
        <v>0</v>
      </c>
      <c r="AC51" s="46">
        <f t="shared" si="16"/>
        <v>0</v>
      </c>
      <c r="AD51" s="46">
        <f t="shared" si="16"/>
        <v>0</v>
      </c>
      <c r="AE51" s="46">
        <f t="shared" si="16"/>
        <v>0</v>
      </c>
      <c r="AF51" s="46">
        <f t="shared" si="16"/>
        <v>0</v>
      </c>
      <c r="AG51" s="46">
        <f t="shared" si="16"/>
        <v>0</v>
      </c>
      <c r="AH51" s="46">
        <f t="shared" si="16"/>
        <v>0</v>
      </c>
      <c r="AI51" s="46">
        <f t="shared" si="16"/>
        <v>0</v>
      </c>
      <c r="AJ51" s="46">
        <f t="shared" si="16"/>
        <v>0</v>
      </c>
      <c r="AK51" s="46">
        <f t="shared" si="16"/>
        <v>0</v>
      </c>
      <c r="AL51" s="46">
        <f t="shared" si="16"/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46">
        <f aca="true" t="shared" si="17" ref="D53:AL53">D47+D51</f>
        <v>0</v>
      </c>
      <c r="E53" s="46">
        <f t="shared" si="17"/>
        <v>0</v>
      </c>
      <c r="F53" s="46">
        <f t="shared" si="17"/>
        <v>124800</v>
      </c>
      <c r="G53" s="46">
        <f t="shared" si="17"/>
        <v>163200</v>
      </c>
      <c r="H53" s="46">
        <f t="shared" si="17"/>
        <v>163200</v>
      </c>
      <c r="I53" s="46">
        <f t="shared" si="17"/>
        <v>163200</v>
      </c>
      <c r="J53" s="46">
        <f t="shared" si="17"/>
        <v>163200</v>
      </c>
      <c r="K53" s="46">
        <f t="shared" si="17"/>
        <v>163200</v>
      </c>
      <c r="L53" s="46">
        <f t="shared" si="17"/>
        <v>163200</v>
      </c>
      <c r="M53" s="46">
        <f t="shared" si="17"/>
        <v>163200</v>
      </c>
      <c r="N53" s="46">
        <f t="shared" si="17"/>
        <v>163200</v>
      </c>
      <c r="O53" s="46">
        <f t="shared" si="17"/>
        <v>163200</v>
      </c>
      <c r="P53" s="46">
        <f t="shared" si="17"/>
        <v>163200</v>
      </c>
      <c r="Q53" s="46">
        <f t="shared" si="17"/>
        <v>163200</v>
      </c>
      <c r="R53" s="46">
        <f t="shared" si="17"/>
        <v>163200</v>
      </c>
      <c r="S53" s="46">
        <f t="shared" si="17"/>
        <v>163200</v>
      </c>
      <c r="T53" s="46">
        <f t="shared" si="17"/>
        <v>163200</v>
      </c>
      <c r="U53" s="46">
        <f t="shared" si="17"/>
        <v>163200</v>
      </c>
      <c r="V53" s="46">
        <f t="shared" si="17"/>
        <v>163200</v>
      </c>
      <c r="W53" s="46">
        <f t="shared" si="17"/>
        <v>163200</v>
      </c>
      <c r="X53" s="46">
        <f t="shared" si="17"/>
        <v>163200</v>
      </c>
      <c r="Y53" s="46">
        <f t="shared" si="17"/>
        <v>163200</v>
      </c>
      <c r="Z53" s="46">
        <f t="shared" si="17"/>
        <v>163200</v>
      </c>
      <c r="AA53" s="46">
        <f t="shared" si="17"/>
        <v>163200</v>
      </c>
      <c r="AB53" s="46">
        <f t="shared" si="17"/>
        <v>163200</v>
      </c>
      <c r="AC53" s="46">
        <f t="shared" si="17"/>
        <v>163200</v>
      </c>
      <c r="AD53" s="46">
        <f t="shared" si="17"/>
        <v>163200</v>
      </c>
      <c r="AE53" s="46">
        <f t="shared" si="17"/>
        <v>163200</v>
      </c>
      <c r="AF53" s="46">
        <f t="shared" si="17"/>
        <v>163200</v>
      </c>
      <c r="AG53" s="46">
        <f t="shared" si="17"/>
        <v>163200</v>
      </c>
      <c r="AH53" s="46">
        <f t="shared" si="17"/>
        <v>163200</v>
      </c>
      <c r="AI53" s="46">
        <f t="shared" si="17"/>
        <v>163200</v>
      </c>
      <c r="AJ53" s="46">
        <f t="shared" si="17"/>
        <v>0</v>
      </c>
      <c r="AK53" s="46">
        <f t="shared" si="17"/>
        <v>0</v>
      </c>
      <c r="AL53" s="46">
        <f t="shared" si="17"/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45">
        <v>0</v>
      </c>
      <c r="E55" s="45">
        <v>0</v>
      </c>
      <c r="F55" s="45">
        <v>30000</v>
      </c>
      <c r="G55" s="45">
        <v>30000</v>
      </c>
      <c r="H55" s="45">
        <v>30000</v>
      </c>
      <c r="I55" s="45">
        <v>30000</v>
      </c>
      <c r="J55" s="45">
        <v>30000</v>
      </c>
      <c r="K55" s="45">
        <v>30000</v>
      </c>
      <c r="L55" s="45">
        <v>30000</v>
      </c>
      <c r="M55" s="45">
        <v>30000</v>
      </c>
      <c r="N55" s="45">
        <v>30000</v>
      </c>
      <c r="O55" s="45">
        <v>30000</v>
      </c>
      <c r="P55" s="45">
        <v>30000</v>
      </c>
      <c r="Q55" s="45">
        <v>30000</v>
      </c>
      <c r="R55" s="45">
        <v>30000</v>
      </c>
      <c r="S55" s="45">
        <v>30000</v>
      </c>
      <c r="T55" s="45">
        <v>30000</v>
      </c>
      <c r="U55" s="45">
        <v>30000</v>
      </c>
      <c r="V55" s="45">
        <v>30000</v>
      </c>
      <c r="W55" s="45">
        <v>30000</v>
      </c>
      <c r="X55" s="45">
        <v>30000</v>
      </c>
      <c r="Y55" s="45">
        <v>30000</v>
      </c>
      <c r="Z55" s="45">
        <v>30000</v>
      </c>
      <c r="AA55" s="45">
        <v>30000</v>
      </c>
      <c r="AB55" s="45">
        <v>30000</v>
      </c>
      <c r="AC55" s="45">
        <v>30000</v>
      </c>
      <c r="AD55" s="45">
        <v>30000</v>
      </c>
      <c r="AE55" s="45">
        <v>30000</v>
      </c>
      <c r="AF55" s="45">
        <v>30000</v>
      </c>
      <c r="AG55" s="45">
        <v>30000</v>
      </c>
      <c r="AH55" s="45">
        <v>30000</v>
      </c>
      <c r="AI55" s="45">
        <v>30000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11" t="s">
        <v>69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220</v>
      </c>
      <c r="B59" s="19"/>
      <c r="C59" s="19"/>
      <c r="D59" s="47">
        <f>D43+D53+D55+D57</f>
        <v>0</v>
      </c>
      <c r="E59" s="47">
        <f aca="true" t="shared" si="18" ref="E59:AL59">E43+E53+E55+E57</f>
        <v>0</v>
      </c>
      <c r="F59" s="47">
        <f t="shared" si="18"/>
        <v>180871.20691311374</v>
      </c>
      <c r="G59" s="47">
        <f t="shared" si="18"/>
        <v>242886.07306911377</v>
      </c>
      <c r="H59" s="47">
        <f t="shared" si="18"/>
        <v>244983.54734052793</v>
      </c>
      <c r="I59" s="47">
        <f t="shared" si="18"/>
        <v>246464.00337074252</v>
      </c>
      <c r="J59" s="47">
        <f t="shared" si="18"/>
        <v>246665.746470573</v>
      </c>
      <c r="K59" s="47">
        <f t="shared" si="18"/>
        <v>246716.3839886305</v>
      </c>
      <c r="L59" s="47">
        <f t="shared" si="18"/>
        <v>246716.3839886305</v>
      </c>
      <c r="M59" s="47">
        <f t="shared" si="18"/>
        <v>246716.3839886305</v>
      </c>
      <c r="N59" s="47">
        <f t="shared" si="18"/>
        <v>246716.3839886305</v>
      </c>
      <c r="O59" s="47">
        <f t="shared" si="18"/>
        <v>246716.3839886305</v>
      </c>
      <c r="P59" s="47">
        <f t="shared" si="18"/>
        <v>246716.3839886305</v>
      </c>
      <c r="Q59" s="47">
        <f t="shared" si="18"/>
        <v>246716.3839886305</v>
      </c>
      <c r="R59" s="47">
        <f t="shared" si="18"/>
        <v>246716.3839886305</v>
      </c>
      <c r="S59" s="47">
        <f t="shared" si="18"/>
        <v>246716.3839886305</v>
      </c>
      <c r="T59" s="47">
        <f t="shared" si="18"/>
        <v>246716.3839886305</v>
      </c>
      <c r="U59" s="47">
        <f t="shared" si="18"/>
        <v>246716.3839886305</v>
      </c>
      <c r="V59" s="47">
        <f t="shared" si="18"/>
        <v>246716.3839886305</v>
      </c>
      <c r="W59" s="47">
        <f t="shared" si="18"/>
        <v>246716.3839886305</v>
      </c>
      <c r="X59" s="47">
        <f t="shared" si="18"/>
        <v>246716.3839886305</v>
      </c>
      <c r="Y59" s="47">
        <f t="shared" si="18"/>
        <v>246716.3839886305</v>
      </c>
      <c r="Z59" s="47">
        <f t="shared" si="18"/>
        <v>246716.3839886305</v>
      </c>
      <c r="AA59" s="47">
        <f t="shared" si="18"/>
        <v>246716.3839886305</v>
      </c>
      <c r="AB59" s="47">
        <f t="shared" si="18"/>
        <v>246716.3839886305</v>
      </c>
      <c r="AC59" s="47">
        <f t="shared" si="18"/>
        <v>246716.3839886305</v>
      </c>
      <c r="AD59" s="47">
        <f t="shared" si="18"/>
        <v>246716.3839886305</v>
      </c>
      <c r="AE59" s="47">
        <f t="shared" si="18"/>
        <v>246716.3839886305</v>
      </c>
      <c r="AF59" s="47">
        <f t="shared" si="18"/>
        <v>246716.3839886305</v>
      </c>
      <c r="AG59" s="47">
        <f t="shared" si="18"/>
        <v>246716.3839886305</v>
      </c>
      <c r="AH59" s="47">
        <f t="shared" si="18"/>
        <v>246716.3839886305</v>
      </c>
      <c r="AI59" s="47">
        <f t="shared" si="18"/>
        <v>246716.3839886305</v>
      </c>
      <c r="AJ59" s="47">
        <f t="shared" si="18"/>
        <v>0</v>
      </c>
      <c r="AK59" s="47">
        <f t="shared" si="18"/>
        <v>0</v>
      </c>
      <c r="AL59" s="47">
        <f t="shared" si="18"/>
        <v>0</v>
      </c>
    </row>
    <row r="60" spans="1:38" s="8" customFormat="1" ht="12.75">
      <c r="A60" s="11"/>
      <c r="B60" s="19"/>
      <c r="C60" s="1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s="237" customFormat="1" ht="12.75">
      <c r="A61" s="238" t="s">
        <v>219</v>
      </c>
      <c r="B61" s="239"/>
      <c r="C61" s="239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51" t="s">
        <v>51</v>
      </c>
      <c r="D63" s="154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45">
        <v>0</v>
      </c>
      <c r="E65" s="45">
        <v>0</v>
      </c>
      <c r="F65" s="45">
        <v>16500</v>
      </c>
      <c r="G65" s="45">
        <v>16500</v>
      </c>
      <c r="H65" s="45">
        <v>16500</v>
      </c>
      <c r="I65" s="45">
        <v>16500</v>
      </c>
      <c r="J65" s="45">
        <v>16500</v>
      </c>
      <c r="K65" s="45">
        <v>16500</v>
      </c>
      <c r="L65" s="45">
        <v>16500</v>
      </c>
      <c r="M65" s="45">
        <v>16500</v>
      </c>
      <c r="N65" s="45">
        <v>16500</v>
      </c>
      <c r="O65" s="45">
        <v>16500</v>
      </c>
      <c r="P65" s="45">
        <v>16500</v>
      </c>
      <c r="Q65" s="45">
        <v>16500</v>
      </c>
      <c r="R65" s="45">
        <v>16500</v>
      </c>
      <c r="S65" s="45">
        <v>16500</v>
      </c>
      <c r="T65" s="45">
        <v>16500</v>
      </c>
      <c r="U65" s="45">
        <v>16500</v>
      </c>
      <c r="V65" s="45">
        <v>16500</v>
      </c>
      <c r="W65" s="45">
        <v>16500</v>
      </c>
      <c r="X65" s="45">
        <v>16500</v>
      </c>
      <c r="Y65" s="45">
        <v>16500</v>
      </c>
      <c r="Z65" s="45">
        <v>16500</v>
      </c>
      <c r="AA65" s="45">
        <v>16500</v>
      </c>
      <c r="AB65" s="45">
        <v>16500</v>
      </c>
      <c r="AC65" s="45">
        <v>16500</v>
      </c>
      <c r="AD65" s="45">
        <v>16500</v>
      </c>
      <c r="AE65" s="45">
        <v>16500</v>
      </c>
      <c r="AF65" s="45">
        <v>16500</v>
      </c>
      <c r="AG65" s="45">
        <v>16500</v>
      </c>
      <c r="AH65" s="45">
        <v>16500</v>
      </c>
      <c r="AI65" s="45">
        <v>16500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46">
        <f aca="true" t="shared" si="19" ref="D66:O66">D64*D65*12*$D$63</f>
        <v>0</v>
      </c>
      <c r="E66" s="46">
        <f t="shared" si="19"/>
        <v>0</v>
      </c>
      <c r="F66" s="46">
        <f t="shared" si="19"/>
        <v>69696</v>
      </c>
      <c r="G66" s="46">
        <f t="shared" si="19"/>
        <v>69696</v>
      </c>
      <c r="H66" s="46">
        <f t="shared" si="19"/>
        <v>69696</v>
      </c>
      <c r="I66" s="46">
        <f t="shared" si="19"/>
        <v>69696</v>
      </c>
      <c r="J66" s="46">
        <f t="shared" si="19"/>
        <v>69696</v>
      </c>
      <c r="K66" s="46">
        <f t="shared" si="19"/>
        <v>69696</v>
      </c>
      <c r="L66" s="46">
        <f t="shared" si="19"/>
        <v>69696</v>
      </c>
      <c r="M66" s="46">
        <f t="shared" si="19"/>
        <v>69696</v>
      </c>
      <c r="N66" s="46">
        <f t="shared" si="19"/>
        <v>69696</v>
      </c>
      <c r="O66" s="46">
        <f t="shared" si="19"/>
        <v>69696</v>
      </c>
      <c r="P66" s="46">
        <f aca="true" t="shared" si="20" ref="P66:AI66">P64*P65*12*$D$63</f>
        <v>69696</v>
      </c>
      <c r="Q66" s="46">
        <f t="shared" si="20"/>
        <v>69696</v>
      </c>
      <c r="R66" s="46">
        <f t="shared" si="20"/>
        <v>69696</v>
      </c>
      <c r="S66" s="46">
        <f t="shared" si="20"/>
        <v>69696</v>
      </c>
      <c r="T66" s="46">
        <f t="shared" si="20"/>
        <v>69696</v>
      </c>
      <c r="U66" s="46">
        <f t="shared" si="20"/>
        <v>69696</v>
      </c>
      <c r="V66" s="46">
        <f t="shared" si="20"/>
        <v>69696</v>
      </c>
      <c r="W66" s="46">
        <f t="shared" si="20"/>
        <v>69696</v>
      </c>
      <c r="X66" s="46">
        <f t="shared" si="20"/>
        <v>69696</v>
      </c>
      <c r="Y66" s="46">
        <f t="shared" si="20"/>
        <v>69696</v>
      </c>
      <c r="Z66" s="46">
        <f t="shared" si="20"/>
        <v>69696</v>
      </c>
      <c r="AA66" s="46">
        <f t="shared" si="20"/>
        <v>69696</v>
      </c>
      <c r="AB66" s="46">
        <f t="shared" si="20"/>
        <v>69696</v>
      </c>
      <c r="AC66" s="46">
        <f t="shared" si="20"/>
        <v>69696</v>
      </c>
      <c r="AD66" s="46">
        <f t="shared" si="20"/>
        <v>69696</v>
      </c>
      <c r="AE66" s="46">
        <f t="shared" si="20"/>
        <v>69696</v>
      </c>
      <c r="AF66" s="46">
        <f t="shared" si="20"/>
        <v>69696</v>
      </c>
      <c r="AG66" s="46">
        <f t="shared" si="20"/>
        <v>69696</v>
      </c>
      <c r="AH66" s="46">
        <f t="shared" si="20"/>
        <v>69696</v>
      </c>
      <c r="AI66" s="46">
        <f t="shared" si="20"/>
        <v>69696</v>
      </c>
      <c r="AJ66" s="46">
        <f>AJ64*AJ65*12*$D$63</f>
        <v>0</v>
      </c>
      <c r="AK66" s="46">
        <f>AK64*AK65*12*$D$63</f>
        <v>0</v>
      </c>
      <c r="AL66" s="46">
        <f>AL64*AL65*12*$D$63</f>
        <v>0</v>
      </c>
    </row>
    <row r="67" spans="2:38" ht="12.75">
      <c r="B67" s="9"/>
      <c r="C67" s="2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46">
        <f aca="true" t="shared" si="21" ref="D68:O68">D64*D65*12*(1+$D$63)</f>
        <v>0</v>
      </c>
      <c r="E68" s="46">
        <f t="shared" si="21"/>
        <v>0</v>
      </c>
      <c r="F68" s="46">
        <f t="shared" si="21"/>
        <v>267696</v>
      </c>
      <c r="G68" s="46">
        <f t="shared" si="21"/>
        <v>267696</v>
      </c>
      <c r="H68" s="46">
        <f t="shared" si="21"/>
        <v>267696</v>
      </c>
      <c r="I68" s="46">
        <f t="shared" si="21"/>
        <v>267696</v>
      </c>
      <c r="J68" s="46">
        <f t="shared" si="21"/>
        <v>267696</v>
      </c>
      <c r="K68" s="46">
        <f t="shared" si="21"/>
        <v>267696</v>
      </c>
      <c r="L68" s="46">
        <f t="shared" si="21"/>
        <v>267696</v>
      </c>
      <c r="M68" s="46">
        <f t="shared" si="21"/>
        <v>267696</v>
      </c>
      <c r="N68" s="46">
        <f t="shared" si="21"/>
        <v>267696</v>
      </c>
      <c r="O68" s="46">
        <f t="shared" si="21"/>
        <v>267696</v>
      </c>
      <c r="P68" s="46">
        <f aca="true" t="shared" si="22" ref="P68:AI68">P64*P65*12*(1+$D$63)</f>
        <v>267696</v>
      </c>
      <c r="Q68" s="46">
        <f t="shared" si="22"/>
        <v>267696</v>
      </c>
      <c r="R68" s="46">
        <f t="shared" si="22"/>
        <v>267696</v>
      </c>
      <c r="S68" s="46">
        <f t="shared" si="22"/>
        <v>267696</v>
      </c>
      <c r="T68" s="46">
        <f t="shared" si="22"/>
        <v>267696</v>
      </c>
      <c r="U68" s="46">
        <f t="shared" si="22"/>
        <v>267696</v>
      </c>
      <c r="V68" s="46">
        <f t="shared" si="22"/>
        <v>267696</v>
      </c>
      <c r="W68" s="46">
        <f t="shared" si="22"/>
        <v>267696</v>
      </c>
      <c r="X68" s="46">
        <f t="shared" si="22"/>
        <v>267696</v>
      </c>
      <c r="Y68" s="46">
        <f t="shared" si="22"/>
        <v>267696</v>
      </c>
      <c r="Z68" s="46">
        <f t="shared" si="22"/>
        <v>267696</v>
      </c>
      <c r="AA68" s="46">
        <f t="shared" si="22"/>
        <v>267696</v>
      </c>
      <c r="AB68" s="46">
        <f t="shared" si="22"/>
        <v>267696</v>
      </c>
      <c r="AC68" s="46">
        <f t="shared" si="22"/>
        <v>267696</v>
      </c>
      <c r="AD68" s="46">
        <f t="shared" si="22"/>
        <v>267696</v>
      </c>
      <c r="AE68" s="46">
        <f t="shared" si="22"/>
        <v>267696</v>
      </c>
      <c r="AF68" s="46">
        <f t="shared" si="22"/>
        <v>267696</v>
      </c>
      <c r="AG68" s="46">
        <f t="shared" si="22"/>
        <v>267696</v>
      </c>
      <c r="AH68" s="46">
        <f t="shared" si="22"/>
        <v>267696</v>
      </c>
      <c r="AI68" s="46">
        <f t="shared" si="22"/>
        <v>267696</v>
      </c>
      <c r="AJ68" s="46">
        <f>AJ64*AJ65*12*(1+$D$63)</f>
        <v>0</v>
      </c>
      <c r="AK68" s="46">
        <f>AK64*AK65*12*(1+$D$63)</f>
        <v>0</v>
      </c>
      <c r="AL68" s="46">
        <f>AL64*AL65*12*(1+$D$63)</f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157</v>
      </c>
      <c r="B70" s="19"/>
      <c r="C70" s="19"/>
      <c r="D70" s="45">
        <v>0</v>
      </c>
      <c r="E70" s="45">
        <v>0</v>
      </c>
      <c r="F70" s="45">
        <v>15000</v>
      </c>
      <c r="G70" s="45">
        <v>15000</v>
      </c>
      <c r="H70" s="45">
        <v>15000</v>
      </c>
      <c r="I70" s="45">
        <v>15000</v>
      </c>
      <c r="J70" s="45">
        <v>15000</v>
      </c>
      <c r="K70" s="45">
        <v>15000</v>
      </c>
      <c r="L70" s="45">
        <v>15000</v>
      </c>
      <c r="M70" s="45">
        <v>15000</v>
      </c>
      <c r="N70" s="45">
        <v>15000</v>
      </c>
      <c r="O70" s="45">
        <v>15000</v>
      </c>
      <c r="P70" s="45">
        <v>15001</v>
      </c>
      <c r="Q70" s="45">
        <v>15002</v>
      </c>
      <c r="R70" s="45">
        <v>15003</v>
      </c>
      <c r="S70" s="45">
        <v>15004</v>
      </c>
      <c r="T70" s="45">
        <v>15005</v>
      </c>
      <c r="U70" s="45">
        <v>15006</v>
      </c>
      <c r="V70" s="45">
        <v>15007</v>
      </c>
      <c r="W70" s="45">
        <v>15008</v>
      </c>
      <c r="X70" s="45">
        <v>15009</v>
      </c>
      <c r="Y70" s="45">
        <v>15010</v>
      </c>
      <c r="Z70" s="45">
        <v>15011</v>
      </c>
      <c r="AA70" s="45">
        <v>15012</v>
      </c>
      <c r="AB70" s="45">
        <v>15013</v>
      </c>
      <c r="AC70" s="45">
        <v>15014</v>
      </c>
      <c r="AD70" s="45">
        <v>15015</v>
      </c>
      <c r="AE70" s="45">
        <v>15016</v>
      </c>
      <c r="AF70" s="45">
        <v>15017</v>
      </c>
      <c r="AG70" s="45">
        <v>15018</v>
      </c>
      <c r="AH70" s="45">
        <v>15019</v>
      </c>
      <c r="AI70" s="45">
        <v>15020</v>
      </c>
      <c r="AJ70" s="45">
        <v>0</v>
      </c>
      <c r="AK70" s="45">
        <v>0</v>
      </c>
      <c r="AL70" s="45">
        <v>0</v>
      </c>
    </row>
    <row r="71" spans="4:3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11" t="s">
        <v>69</v>
      </c>
      <c r="B72" s="19"/>
      <c r="C72" s="19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11" t="s">
        <v>70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11" t="s">
        <v>71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8" customFormat="1" ht="12.75">
      <c r="A78" s="11" t="s">
        <v>222</v>
      </c>
      <c r="B78" s="19"/>
      <c r="C78" s="19"/>
      <c r="D78" s="47">
        <f>D68+D72+D74+D76</f>
        <v>0</v>
      </c>
      <c r="E78" s="47">
        <f aca="true" t="shared" si="23" ref="E78:AL78">E68+E72+E74+E76</f>
        <v>0</v>
      </c>
      <c r="F78" s="47">
        <f t="shared" si="23"/>
        <v>267696</v>
      </c>
      <c r="G78" s="47">
        <f t="shared" si="23"/>
        <v>267696</v>
      </c>
      <c r="H78" s="47">
        <f t="shared" si="23"/>
        <v>267696</v>
      </c>
      <c r="I78" s="47">
        <f t="shared" si="23"/>
        <v>267696</v>
      </c>
      <c r="J78" s="47">
        <f t="shared" si="23"/>
        <v>267696</v>
      </c>
      <c r="K78" s="47">
        <f t="shared" si="23"/>
        <v>267696</v>
      </c>
      <c r="L78" s="47">
        <f t="shared" si="23"/>
        <v>267696</v>
      </c>
      <c r="M78" s="47">
        <f t="shared" si="23"/>
        <v>267696</v>
      </c>
      <c r="N78" s="47">
        <f t="shared" si="23"/>
        <v>267696</v>
      </c>
      <c r="O78" s="47">
        <f t="shared" si="23"/>
        <v>267696</v>
      </c>
      <c r="P78" s="47">
        <f t="shared" si="23"/>
        <v>267696</v>
      </c>
      <c r="Q78" s="47">
        <f t="shared" si="23"/>
        <v>267696</v>
      </c>
      <c r="R78" s="47">
        <f t="shared" si="23"/>
        <v>267696</v>
      </c>
      <c r="S78" s="47">
        <f t="shared" si="23"/>
        <v>267696</v>
      </c>
      <c r="T78" s="47">
        <f t="shared" si="23"/>
        <v>267696</v>
      </c>
      <c r="U78" s="47">
        <f t="shared" si="23"/>
        <v>267696</v>
      </c>
      <c r="V78" s="47">
        <f t="shared" si="23"/>
        <v>267696</v>
      </c>
      <c r="W78" s="47">
        <f t="shared" si="23"/>
        <v>267696</v>
      </c>
      <c r="X78" s="47">
        <f t="shared" si="23"/>
        <v>267696</v>
      </c>
      <c r="Y78" s="47">
        <f t="shared" si="23"/>
        <v>267696</v>
      </c>
      <c r="Z78" s="47">
        <f t="shared" si="23"/>
        <v>267696</v>
      </c>
      <c r="AA78" s="47">
        <f t="shared" si="23"/>
        <v>267696</v>
      </c>
      <c r="AB78" s="47">
        <f t="shared" si="23"/>
        <v>267696</v>
      </c>
      <c r="AC78" s="47">
        <f t="shared" si="23"/>
        <v>267696</v>
      </c>
      <c r="AD78" s="47">
        <f t="shared" si="23"/>
        <v>267696</v>
      </c>
      <c r="AE78" s="47">
        <f t="shared" si="23"/>
        <v>267696</v>
      </c>
      <c r="AF78" s="47">
        <f t="shared" si="23"/>
        <v>267696</v>
      </c>
      <c r="AG78" s="47">
        <f t="shared" si="23"/>
        <v>267696</v>
      </c>
      <c r="AH78" s="47">
        <f t="shared" si="23"/>
        <v>267696</v>
      </c>
      <c r="AI78" s="47">
        <f t="shared" si="23"/>
        <v>267696</v>
      </c>
      <c r="AJ78" s="47">
        <f t="shared" si="23"/>
        <v>0</v>
      </c>
      <c r="AK78" s="47">
        <f t="shared" si="23"/>
        <v>0</v>
      </c>
      <c r="AL78" s="47">
        <f t="shared" si="23"/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8" customFormat="1" ht="12.75">
      <c r="A80" s="11" t="s">
        <v>35</v>
      </c>
      <c r="B80" s="19"/>
      <c r="C80" s="19"/>
      <c r="D80" s="47">
        <f>D18+D59+D78</f>
        <v>0</v>
      </c>
      <c r="E80" s="47">
        <f aca="true" t="shared" si="24" ref="E80:AL80">E18+E59+E78</f>
        <v>0</v>
      </c>
      <c r="F80" s="47">
        <f t="shared" si="24"/>
        <v>501567.2069131137</v>
      </c>
      <c r="G80" s="47">
        <f t="shared" si="24"/>
        <v>563582.0730691138</v>
      </c>
      <c r="H80" s="47">
        <f t="shared" si="24"/>
        <v>565679.5473405279</v>
      </c>
      <c r="I80" s="47">
        <f t="shared" si="24"/>
        <v>567160.0033707425</v>
      </c>
      <c r="J80" s="47">
        <f t="shared" si="24"/>
        <v>567361.746470573</v>
      </c>
      <c r="K80" s="47">
        <f t="shared" si="24"/>
        <v>569412.3839886305</v>
      </c>
      <c r="L80" s="47">
        <f t="shared" si="24"/>
        <v>569412.3839886305</v>
      </c>
      <c r="M80" s="47">
        <f t="shared" si="24"/>
        <v>569412.3839886305</v>
      </c>
      <c r="N80" s="47">
        <f t="shared" si="24"/>
        <v>569412.3839886305</v>
      </c>
      <c r="O80" s="47">
        <f t="shared" si="24"/>
        <v>569412.3839886305</v>
      </c>
      <c r="P80" s="47">
        <f t="shared" si="24"/>
        <v>572412.3839886305</v>
      </c>
      <c r="Q80" s="47">
        <f t="shared" si="24"/>
        <v>572412.3839886305</v>
      </c>
      <c r="R80" s="47">
        <f t="shared" si="24"/>
        <v>572412.3839886305</v>
      </c>
      <c r="S80" s="47">
        <f t="shared" si="24"/>
        <v>572412.3839886305</v>
      </c>
      <c r="T80" s="47">
        <f t="shared" si="24"/>
        <v>572412.3839886305</v>
      </c>
      <c r="U80" s="47">
        <f t="shared" si="24"/>
        <v>572412.3839886305</v>
      </c>
      <c r="V80" s="47">
        <f t="shared" si="24"/>
        <v>572412.3839886305</v>
      </c>
      <c r="W80" s="47">
        <f t="shared" si="24"/>
        <v>572412.3839886305</v>
      </c>
      <c r="X80" s="47">
        <f t="shared" si="24"/>
        <v>572412.3839886305</v>
      </c>
      <c r="Y80" s="47">
        <f t="shared" si="24"/>
        <v>572412.3839886305</v>
      </c>
      <c r="Z80" s="47">
        <f t="shared" si="24"/>
        <v>572412.3839886305</v>
      </c>
      <c r="AA80" s="47">
        <f t="shared" si="24"/>
        <v>572412.3839886305</v>
      </c>
      <c r="AB80" s="47">
        <f t="shared" si="24"/>
        <v>572412.3839886305</v>
      </c>
      <c r="AC80" s="47">
        <f t="shared" si="24"/>
        <v>572412.3839886305</v>
      </c>
      <c r="AD80" s="47">
        <f t="shared" si="24"/>
        <v>572412.3839886305</v>
      </c>
      <c r="AE80" s="47">
        <f t="shared" si="24"/>
        <v>572412.3839886305</v>
      </c>
      <c r="AF80" s="47">
        <f t="shared" si="24"/>
        <v>572412.3839886305</v>
      </c>
      <c r="AG80" s="47">
        <f t="shared" si="24"/>
        <v>572412.3839886305</v>
      </c>
      <c r="AH80" s="47">
        <f t="shared" si="24"/>
        <v>572412.3839886305</v>
      </c>
      <c r="AI80" s="47">
        <f t="shared" si="24"/>
        <v>572412.3839886305</v>
      </c>
      <c r="AJ80" s="47">
        <f t="shared" si="24"/>
        <v>0</v>
      </c>
      <c r="AK80" s="47">
        <f t="shared" si="24"/>
        <v>0</v>
      </c>
      <c r="AL80" s="47">
        <f t="shared" si="24"/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24" t="s">
        <v>189</v>
      </c>
      <c r="D3" s="219">
        <v>930</v>
      </c>
      <c r="E3" s="218">
        <f>D3*(1+D4)</f>
        <v>939.3</v>
      </c>
      <c r="F3" s="218">
        <f aca="true" t="shared" si="1" ref="F3:O3">E3*(1+E4)</f>
        <v>948.693</v>
      </c>
      <c r="G3" s="218">
        <f t="shared" si="1"/>
        <v>956.282544</v>
      </c>
      <c r="H3" s="218">
        <f t="shared" si="1"/>
        <v>962.9765218079999</v>
      </c>
      <c r="I3" s="218">
        <f t="shared" si="1"/>
        <v>968.7543809388479</v>
      </c>
      <c r="J3" s="218">
        <f t="shared" si="1"/>
        <v>972.6293984626034</v>
      </c>
      <c r="K3" s="218">
        <f t="shared" si="1"/>
        <v>973.6020278610658</v>
      </c>
      <c r="L3" s="218">
        <f t="shared" si="1"/>
        <v>973.6020278610658</v>
      </c>
      <c r="M3" s="218">
        <f t="shared" si="1"/>
        <v>973.6020278610658</v>
      </c>
      <c r="N3" s="218">
        <f t="shared" si="1"/>
        <v>973.6020278610658</v>
      </c>
      <c r="O3" s="218">
        <f t="shared" si="1"/>
        <v>973.6020278610658</v>
      </c>
      <c r="P3" s="218">
        <f aca="true" t="shared" si="2" ref="P3:AI3">O3*(1+O4)</f>
        <v>973.6020278610658</v>
      </c>
      <c r="Q3" s="218">
        <f t="shared" si="2"/>
        <v>973.6020278610658</v>
      </c>
      <c r="R3" s="218">
        <f t="shared" si="2"/>
        <v>973.6020278610658</v>
      </c>
      <c r="S3" s="218">
        <f t="shared" si="2"/>
        <v>973.6020278610658</v>
      </c>
      <c r="T3" s="218">
        <f t="shared" si="2"/>
        <v>973.6020278610658</v>
      </c>
      <c r="U3" s="218">
        <f t="shared" si="2"/>
        <v>973.6020278610658</v>
      </c>
      <c r="V3" s="218">
        <f t="shared" si="2"/>
        <v>973.6020278610658</v>
      </c>
      <c r="W3" s="218">
        <f t="shared" si="2"/>
        <v>973.6020278610658</v>
      </c>
      <c r="X3" s="218">
        <f t="shared" si="2"/>
        <v>973.6020278610658</v>
      </c>
      <c r="Y3" s="218">
        <f t="shared" si="2"/>
        <v>973.6020278610658</v>
      </c>
      <c r="Z3" s="218">
        <f t="shared" si="2"/>
        <v>973.6020278610658</v>
      </c>
      <c r="AA3" s="218">
        <f t="shared" si="2"/>
        <v>973.6020278610658</v>
      </c>
      <c r="AB3" s="218">
        <f t="shared" si="2"/>
        <v>973.6020278610658</v>
      </c>
      <c r="AC3" s="218">
        <f t="shared" si="2"/>
        <v>973.6020278610658</v>
      </c>
      <c r="AD3" s="218">
        <f t="shared" si="2"/>
        <v>973.6020278610658</v>
      </c>
      <c r="AE3" s="218">
        <f t="shared" si="2"/>
        <v>973.6020278610658</v>
      </c>
      <c r="AF3" s="218">
        <f t="shared" si="2"/>
        <v>973.6020278610658</v>
      </c>
      <c r="AG3" s="218">
        <f t="shared" si="2"/>
        <v>973.6020278610658</v>
      </c>
      <c r="AH3" s="218">
        <f t="shared" si="2"/>
        <v>973.6020278610658</v>
      </c>
      <c r="AI3" s="218">
        <f t="shared" si="2"/>
        <v>973.6020278610658</v>
      </c>
    </row>
    <row r="4" spans="3:35" ht="12.75">
      <c r="C4" s="223" t="s">
        <v>190</v>
      </c>
      <c r="D4" s="220">
        <v>0.01</v>
      </c>
      <c r="E4" s="220">
        <v>0.01</v>
      </c>
      <c r="F4" s="220">
        <v>0.008</v>
      </c>
      <c r="G4" s="220">
        <v>0.007</v>
      </c>
      <c r="H4" s="220">
        <v>0.006</v>
      </c>
      <c r="I4" s="220">
        <v>0.004</v>
      </c>
      <c r="J4" s="220">
        <v>0.001</v>
      </c>
      <c r="K4" s="220">
        <v>0</v>
      </c>
      <c r="L4" s="220">
        <v>0</v>
      </c>
      <c r="M4" s="220">
        <v>0</v>
      </c>
      <c r="N4" s="220">
        <v>0</v>
      </c>
      <c r="O4" s="220">
        <v>0</v>
      </c>
      <c r="P4" s="220">
        <v>0</v>
      </c>
      <c r="Q4" s="220">
        <v>0</v>
      </c>
      <c r="R4" s="220">
        <v>0</v>
      </c>
      <c r="S4" s="220">
        <v>0</v>
      </c>
      <c r="T4" s="220">
        <v>0</v>
      </c>
      <c r="U4" s="220">
        <v>0</v>
      </c>
      <c r="V4" s="220">
        <v>0</v>
      </c>
      <c r="W4" s="220">
        <v>0</v>
      </c>
      <c r="X4" s="220">
        <v>0</v>
      </c>
      <c r="Y4" s="220">
        <v>0</v>
      </c>
      <c r="Z4" s="220">
        <v>0</v>
      </c>
      <c r="AA4" s="220">
        <v>0</v>
      </c>
      <c r="AB4" s="220">
        <v>0</v>
      </c>
      <c r="AC4" s="220">
        <v>0</v>
      </c>
      <c r="AD4" s="220">
        <v>0</v>
      </c>
      <c r="AE4" s="220">
        <v>0</v>
      </c>
      <c r="AF4" s="220">
        <v>0</v>
      </c>
      <c r="AG4" s="220">
        <v>0</v>
      </c>
      <c r="AH4" s="220">
        <v>0</v>
      </c>
      <c r="AI4" s="220">
        <v>0</v>
      </c>
    </row>
    <row r="5" ht="12.75">
      <c r="C5" s="224"/>
    </row>
    <row r="6" spans="3:35" ht="12.75">
      <c r="C6" s="223" t="s">
        <v>200</v>
      </c>
      <c r="D6" s="222">
        <v>0</v>
      </c>
      <c r="E6" s="222">
        <v>0</v>
      </c>
      <c r="F6" s="222">
        <v>0.4</v>
      </c>
      <c r="G6" s="222">
        <v>0.8</v>
      </c>
      <c r="H6" s="222">
        <v>0.83</v>
      </c>
      <c r="I6" s="222">
        <v>0.85</v>
      </c>
      <c r="J6" s="222">
        <v>0.85</v>
      </c>
      <c r="K6" s="222">
        <v>0.85</v>
      </c>
      <c r="L6" s="222">
        <v>0.85</v>
      </c>
      <c r="M6" s="222">
        <v>0.85</v>
      </c>
      <c r="N6" s="222">
        <v>0.85</v>
      </c>
      <c r="O6" s="222">
        <v>0.85</v>
      </c>
      <c r="P6" s="222">
        <v>0.85</v>
      </c>
      <c r="Q6" s="222">
        <v>0.85</v>
      </c>
      <c r="R6" s="222">
        <v>0.85</v>
      </c>
      <c r="S6" s="222">
        <v>0.85</v>
      </c>
      <c r="T6" s="222">
        <v>0.85</v>
      </c>
      <c r="U6" s="222">
        <v>0.85</v>
      </c>
      <c r="V6" s="222">
        <v>0.85</v>
      </c>
      <c r="W6" s="222">
        <v>0.85</v>
      </c>
      <c r="X6" s="222">
        <v>0.85</v>
      </c>
      <c r="Y6" s="222">
        <v>0.85</v>
      </c>
      <c r="Z6" s="222">
        <v>0.85</v>
      </c>
      <c r="AA6" s="222">
        <v>0.85</v>
      </c>
      <c r="AB6" s="222">
        <v>0.85</v>
      </c>
      <c r="AC6" s="222">
        <v>0.85</v>
      </c>
      <c r="AD6" s="222">
        <v>0.85</v>
      </c>
      <c r="AE6" s="222">
        <v>0.85</v>
      </c>
      <c r="AF6" s="222">
        <v>0.85</v>
      </c>
      <c r="AG6" s="222">
        <v>0.85</v>
      </c>
      <c r="AH6" s="222">
        <v>0.85</v>
      </c>
      <c r="AI6" s="222">
        <v>0.85</v>
      </c>
    </row>
    <row r="7" spans="3:35" ht="12.75">
      <c r="C7" s="223" t="s">
        <v>191</v>
      </c>
      <c r="D7" s="218">
        <f>D3*D6</f>
        <v>0</v>
      </c>
      <c r="E7" s="218">
        <f aca="true" t="shared" si="3" ref="E7:O7">E3*E6</f>
        <v>0</v>
      </c>
      <c r="F7" s="218">
        <f t="shared" si="3"/>
        <v>379.47720000000004</v>
      </c>
      <c r="G7" s="218">
        <f t="shared" si="3"/>
        <v>765.0260352</v>
      </c>
      <c r="H7" s="218">
        <f t="shared" si="3"/>
        <v>799.2705131006398</v>
      </c>
      <c r="I7" s="218">
        <f t="shared" si="3"/>
        <v>823.4412237980207</v>
      </c>
      <c r="J7" s="218">
        <f t="shared" si="3"/>
        <v>826.7349886932128</v>
      </c>
      <c r="K7" s="218">
        <f t="shared" si="3"/>
        <v>827.561723681906</v>
      </c>
      <c r="L7" s="218">
        <f t="shared" si="3"/>
        <v>827.561723681906</v>
      </c>
      <c r="M7" s="218">
        <f t="shared" si="3"/>
        <v>827.561723681906</v>
      </c>
      <c r="N7" s="218">
        <f t="shared" si="3"/>
        <v>827.561723681906</v>
      </c>
      <c r="O7" s="218">
        <f t="shared" si="3"/>
        <v>827.561723681906</v>
      </c>
      <c r="P7" s="218">
        <f aca="true" t="shared" si="4" ref="P7:AI7">P3*P6</f>
        <v>827.561723681906</v>
      </c>
      <c r="Q7" s="218">
        <f t="shared" si="4"/>
        <v>827.561723681906</v>
      </c>
      <c r="R7" s="218">
        <f t="shared" si="4"/>
        <v>827.561723681906</v>
      </c>
      <c r="S7" s="218">
        <f t="shared" si="4"/>
        <v>827.561723681906</v>
      </c>
      <c r="T7" s="218">
        <f t="shared" si="4"/>
        <v>827.561723681906</v>
      </c>
      <c r="U7" s="218">
        <f t="shared" si="4"/>
        <v>827.561723681906</v>
      </c>
      <c r="V7" s="218">
        <f t="shared" si="4"/>
        <v>827.561723681906</v>
      </c>
      <c r="W7" s="218">
        <f t="shared" si="4"/>
        <v>827.561723681906</v>
      </c>
      <c r="X7" s="218">
        <f t="shared" si="4"/>
        <v>827.561723681906</v>
      </c>
      <c r="Y7" s="218">
        <f t="shared" si="4"/>
        <v>827.561723681906</v>
      </c>
      <c r="Z7" s="218">
        <f t="shared" si="4"/>
        <v>827.561723681906</v>
      </c>
      <c r="AA7" s="218">
        <f t="shared" si="4"/>
        <v>827.561723681906</v>
      </c>
      <c r="AB7" s="218">
        <f t="shared" si="4"/>
        <v>827.561723681906</v>
      </c>
      <c r="AC7" s="218">
        <f t="shared" si="4"/>
        <v>827.561723681906</v>
      </c>
      <c r="AD7" s="218">
        <f t="shared" si="4"/>
        <v>827.561723681906</v>
      </c>
      <c r="AE7" s="218">
        <f t="shared" si="4"/>
        <v>827.561723681906</v>
      </c>
      <c r="AF7" s="218">
        <f t="shared" si="4"/>
        <v>827.561723681906</v>
      </c>
      <c r="AG7" s="218">
        <f t="shared" si="4"/>
        <v>827.561723681906</v>
      </c>
      <c r="AH7" s="218">
        <f t="shared" si="4"/>
        <v>827.561723681906</v>
      </c>
      <c r="AI7" s="218">
        <f t="shared" si="4"/>
        <v>827.561723681906</v>
      </c>
    </row>
    <row r="8" ht="12.75">
      <c r="C8" s="224"/>
    </row>
    <row r="9" spans="1:3" ht="12.75">
      <c r="A9" s="34" t="s">
        <v>192</v>
      </c>
      <c r="C9" s="224"/>
    </row>
    <row r="10" spans="3:35" ht="12.75">
      <c r="C10" s="223" t="s">
        <v>193</v>
      </c>
      <c r="D10" s="221">
        <v>89</v>
      </c>
      <c r="E10" s="221">
        <v>89</v>
      </c>
      <c r="F10" s="221">
        <v>89</v>
      </c>
      <c r="G10" s="221">
        <v>89</v>
      </c>
      <c r="H10" s="221">
        <v>89</v>
      </c>
      <c r="I10" s="221">
        <v>89</v>
      </c>
      <c r="J10" s="221">
        <v>89</v>
      </c>
      <c r="K10" s="221">
        <v>89</v>
      </c>
      <c r="L10" s="221">
        <v>89</v>
      </c>
      <c r="M10" s="221">
        <v>89</v>
      </c>
      <c r="N10" s="221">
        <v>89</v>
      </c>
      <c r="O10" s="221">
        <v>89</v>
      </c>
      <c r="P10" s="221">
        <v>89</v>
      </c>
      <c r="Q10" s="221">
        <v>89</v>
      </c>
      <c r="R10" s="221">
        <v>89</v>
      </c>
      <c r="S10" s="221">
        <v>89</v>
      </c>
      <c r="T10" s="221">
        <v>89</v>
      </c>
      <c r="U10" s="221">
        <v>89</v>
      </c>
      <c r="V10" s="221">
        <v>89</v>
      </c>
      <c r="W10" s="221">
        <v>89</v>
      </c>
      <c r="X10" s="221">
        <v>89</v>
      </c>
      <c r="Y10" s="221">
        <v>89</v>
      </c>
      <c r="Z10" s="221">
        <v>89</v>
      </c>
      <c r="AA10" s="221">
        <v>89</v>
      </c>
      <c r="AB10" s="221">
        <v>89</v>
      </c>
      <c r="AC10" s="221">
        <v>89</v>
      </c>
      <c r="AD10" s="221">
        <v>89</v>
      </c>
      <c r="AE10" s="221">
        <v>89</v>
      </c>
      <c r="AF10" s="221">
        <v>89</v>
      </c>
      <c r="AG10" s="221">
        <v>89</v>
      </c>
      <c r="AH10" s="221">
        <v>89</v>
      </c>
      <c r="AI10" s="221">
        <v>89</v>
      </c>
    </row>
    <row r="11" spans="3:35" ht="12.75">
      <c r="C11" s="223" t="s">
        <v>194</v>
      </c>
      <c r="D11" s="217">
        <f>D10*365/1000</f>
        <v>32.485</v>
      </c>
      <c r="E11" s="217">
        <f aca="true" t="shared" si="5" ref="E11:N11">E10*365/1000</f>
        <v>32.485</v>
      </c>
      <c r="F11" s="217">
        <f t="shared" si="5"/>
        <v>32.485</v>
      </c>
      <c r="G11" s="217">
        <f t="shared" si="5"/>
        <v>32.485</v>
      </c>
      <c r="H11" s="217">
        <f t="shared" si="5"/>
        <v>32.485</v>
      </c>
      <c r="I11" s="217">
        <f t="shared" si="5"/>
        <v>32.485</v>
      </c>
      <c r="J11" s="217">
        <f t="shared" si="5"/>
        <v>32.485</v>
      </c>
      <c r="K11" s="217">
        <f t="shared" si="5"/>
        <v>32.485</v>
      </c>
      <c r="L11" s="217">
        <f t="shared" si="5"/>
        <v>32.485</v>
      </c>
      <c r="M11" s="217">
        <f t="shared" si="5"/>
        <v>32.485</v>
      </c>
      <c r="N11" s="217">
        <f t="shared" si="5"/>
        <v>32.485</v>
      </c>
      <c r="O11" s="217">
        <f aca="true" t="shared" si="6" ref="O11:AI11">O10*365/1000</f>
        <v>32.485</v>
      </c>
      <c r="P11" s="217">
        <f t="shared" si="6"/>
        <v>32.485</v>
      </c>
      <c r="Q11" s="217">
        <f t="shared" si="6"/>
        <v>32.485</v>
      </c>
      <c r="R11" s="217">
        <f t="shared" si="6"/>
        <v>32.485</v>
      </c>
      <c r="S11" s="217">
        <f t="shared" si="6"/>
        <v>32.485</v>
      </c>
      <c r="T11" s="217">
        <f t="shared" si="6"/>
        <v>32.485</v>
      </c>
      <c r="U11" s="217">
        <f t="shared" si="6"/>
        <v>32.485</v>
      </c>
      <c r="V11" s="217">
        <f t="shared" si="6"/>
        <v>32.485</v>
      </c>
      <c r="W11" s="217">
        <f t="shared" si="6"/>
        <v>32.485</v>
      </c>
      <c r="X11" s="217">
        <f t="shared" si="6"/>
        <v>32.485</v>
      </c>
      <c r="Y11" s="217">
        <f t="shared" si="6"/>
        <v>32.485</v>
      </c>
      <c r="Z11" s="217">
        <f t="shared" si="6"/>
        <v>32.485</v>
      </c>
      <c r="AA11" s="217">
        <f t="shared" si="6"/>
        <v>32.485</v>
      </c>
      <c r="AB11" s="217">
        <f t="shared" si="6"/>
        <v>32.485</v>
      </c>
      <c r="AC11" s="217">
        <f t="shared" si="6"/>
        <v>32.485</v>
      </c>
      <c r="AD11" s="217">
        <f t="shared" si="6"/>
        <v>32.485</v>
      </c>
      <c r="AE11" s="217">
        <f t="shared" si="6"/>
        <v>32.485</v>
      </c>
      <c r="AF11" s="217">
        <f t="shared" si="6"/>
        <v>32.485</v>
      </c>
      <c r="AG11" s="217">
        <f t="shared" si="6"/>
        <v>32.485</v>
      </c>
      <c r="AH11" s="217">
        <f t="shared" si="6"/>
        <v>32.485</v>
      </c>
      <c r="AI11" s="217">
        <f t="shared" si="6"/>
        <v>32.485</v>
      </c>
    </row>
    <row r="12" ht="12.75"/>
    <row r="13" spans="3:38" ht="12.75">
      <c r="C13" s="223" t="s">
        <v>198</v>
      </c>
      <c r="D13" s="46">
        <f>D7*D11</f>
        <v>0</v>
      </c>
      <c r="E13" s="46">
        <f aca="true" t="shared" si="7" ref="E13:O13">E7*E11</f>
        <v>0</v>
      </c>
      <c r="F13" s="46">
        <f t="shared" si="7"/>
        <v>12327.316842</v>
      </c>
      <c r="G13" s="46">
        <f t="shared" si="7"/>
        <v>24851.870753472</v>
      </c>
      <c r="H13" s="46">
        <f t="shared" si="7"/>
        <v>25964.302618074285</v>
      </c>
      <c r="I13" s="46">
        <f t="shared" si="7"/>
        <v>26749.488155078703</v>
      </c>
      <c r="J13" s="46">
        <f t="shared" si="7"/>
        <v>26856.486107699016</v>
      </c>
      <c r="K13" s="46">
        <f t="shared" si="7"/>
        <v>26883.342593806716</v>
      </c>
      <c r="L13" s="46">
        <f t="shared" si="7"/>
        <v>26883.342593806716</v>
      </c>
      <c r="M13" s="46">
        <f t="shared" si="7"/>
        <v>26883.342593806716</v>
      </c>
      <c r="N13" s="46">
        <f t="shared" si="7"/>
        <v>26883.342593806716</v>
      </c>
      <c r="O13" s="46">
        <f t="shared" si="7"/>
        <v>26883.342593806716</v>
      </c>
      <c r="P13" s="46">
        <f aca="true" t="shared" si="8" ref="P13:AI13">P7*P11</f>
        <v>26883.342593806716</v>
      </c>
      <c r="Q13" s="46">
        <f t="shared" si="8"/>
        <v>26883.342593806716</v>
      </c>
      <c r="R13" s="46">
        <f t="shared" si="8"/>
        <v>26883.342593806716</v>
      </c>
      <c r="S13" s="46">
        <f t="shared" si="8"/>
        <v>26883.342593806716</v>
      </c>
      <c r="T13" s="46">
        <f t="shared" si="8"/>
        <v>26883.342593806716</v>
      </c>
      <c r="U13" s="46">
        <f t="shared" si="8"/>
        <v>26883.342593806716</v>
      </c>
      <c r="V13" s="46">
        <f t="shared" si="8"/>
        <v>26883.342593806716</v>
      </c>
      <c r="W13" s="46">
        <f t="shared" si="8"/>
        <v>26883.342593806716</v>
      </c>
      <c r="X13" s="46">
        <f t="shared" si="8"/>
        <v>26883.342593806716</v>
      </c>
      <c r="Y13" s="46">
        <f t="shared" si="8"/>
        <v>26883.342593806716</v>
      </c>
      <c r="Z13" s="46">
        <f t="shared" si="8"/>
        <v>26883.342593806716</v>
      </c>
      <c r="AA13" s="46">
        <f t="shared" si="8"/>
        <v>26883.342593806716</v>
      </c>
      <c r="AB13" s="46">
        <f t="shared" si="8"/>
        <v>26883.342593806716</v>
      </c>
      <c r="AC13" s="46">
        <f t="shared" si="8"/>
        <v>26883.342593806716</v>
      </c>
      <c r="AD13" s="46">
        <f t="shared" si="8"/>
        <v>26883.342593806716</v>
      </c>
      <c r="AE13" s="46">
        <f t="shared" si="8"/>
        <v>26883.342593806716</v>
      </c>
      <c r="AF13" s="46">
        <f t="shared" si="8"/>
        <v>26883.342593806716</v>
      </c>
      <c r="AG13" s="46">
        <f t="shared" si="8"/>
        <v>26883.342593806716</v>
      </c>
      <c r="AH13" s="46">
        <f t="shared" si="8"/>
        <v>26883.342593806716</v>
      </c>
      <c r="AI13" s="46">
        <f t="shared" si="8"/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23" t="s">
        <v>197</v>
      </c>
      <c r="D14" s="45">
        <v>0</v>
      </c>
      <c r="E14" s="45">
        <v>0</v>
      </c>
      <c r="F14" s="226">
        <v>34.5</v>
      </c>
      <c r="G14" s="226">
        <v>34.5</v>
      </c>
      <c r="H14" s="226">
        <v>34.5</v>
      </c>
      <c r="I14" s="226">
        <v>34.5</v>
      </c>
      <c r="J14" s="226">
        <v>34.5</v>
      </c>
      <c r="K14" s="226">
        <v>34.5</v>
      </c>
      <c r="L14" s="226">
        <v>34.5</v>
      </c>
      <c r="M14" s="226">
        <v>34.5</v>
      </c>
      <c r="N14" s="226">
        <v>34.5</v>
      </c>
      <c r="O14" s="226">
        <v>34.5</v>
      </c>
      <c r="P14" s="226">
        <v>34.5</v>
      </c>
      <c r="Q14" s="226">
        <v>34.5</v>
      </c>
      <c r="R14" s="226">
        <v>34.5</v>
      </c>
      <c r="S14" s="226">
        <v>34.5</v>
      </c>
      <c r="T14" s="226">
        <v>34.5</v>
      </c>
      <c r="U14" s="226">
        <v>34.5</v>
      </c>
      <c r="V14" s="226">
        <v>34.5</v>
      </c>
      <c r="W14" s="226">
        <v>34.5</v>
      </c>
      <c r="X14" s="226">
        <v>34.5</v>
      </c>
      <c r="Y14" s="226">
        <v>34.5</v>
      </c>
      <c r="Z14" s="226">
        <v>34.5</v>
      </c>
      <c r="AA14" s="226">
        <v>34.5</v>
      </c>
      <c r="AB14" s="226">
        <v>34.5</v>
      </c>
      <c r="AC14" s="226">
        <v>34.5</v>
      </c>
      <c r="AD14" s="226">
        <v>34.5</v>
      </c>
      <c r="AE14" s="226">
        <v>34.5</v>
      </c>
      <c r="AF14" s="226">
        <v>34.5</v>
      </c>
      <c r="AG14" s="226">
        <v>34.5</v>
      </c>
      <c r="AH14" s="226">
        <v>34.5</v>
      </c>
      <c r="AI14" s="226">
        <v>34.5</v>
      </c>
      <c r="AJ14" s="45">
        <v>0</v>
      </c>
      <c r="AK14" s="45">
        <v>0</v>
      </c>
      <c r="AL14" s="45">
        <v>0</v>
      </c>
    </row>
    <row r="15" spans="2:38" ht="12.75">
      <c r="B15" s="269" t="s">
        <v>195</v>
      </c>
      <c r="C15" s="269"/>
      <c r="D15" s="46">
        <f aca="true" t="shared" si="9" ref="D15:O15">D13*D14</f>
        <v>0</v>
      </c>
      <c r="E15" s="46">
        <f t="shared" si="9"/>
        <v>0</v>
      </c>
      <c r="F15" s="46">
        <f t="shared" si="9"/>
        <v>425292.431049</v>
      </c>
      <c r="G15" s="46">
        <f t="shared" si="9"/>
        <v>857389.5409947841</v>
      </c>
      <c r="H15" s="46">
        <f t="shared" si="9"/>
        <v>895768.4403235628</v>
      </c>
      <c r="I15" s="46">
        <f t="shared" si="9"/>
        <v>922857.3413502153</v>
      </c>
      <c r="J15" s="46">
        <f t="shared" si="9"/>
        <v>926548.7707156161</v>
      </c>
      <c r="K15" s="46">
        <f t="shared" si="9"/>
        <v>927475.3194863317</v>
      </c>
      <c r="L15" s="46">
        <f t="shared" si="9"/>
        <v>927475.3194863317</v>
      </c>
      <c r="M15" s="46">
        <f t="shared" si="9"/>
        <v>927475.3194863317</v>
      </c>
      <c r="N15" s="46">
        <f t="shared" si="9"/>
        <v>927475.3194863317</v>
      </c>
      <c r="O15" s="46">
        <f t="shared" si="9"/>
        <v>927475.3194863317</v>
      </c>
      <c r="P15" s="46">
        <f aca="true" t="shared" si="10" ref="P15:AI15">P13*P14</f>
        <v>927475.3194863317</v>
      </c>
      <c r="Q15" s="46">
        <f t="shared" si="10"/>
        <v>927475.3194863317</v>
      </c>
      <c r="R15" s="46">
        <f t="shared" si="10"/>
        <v>927475.3194863317</v>
      </c>
      <c r="S15" s="46">
        <f t="shared" si="10"/>
        <v>927475.3194863317</v>
      </c>
      <c r="T15" s="46">
        <f t="shared" si="10"/>
        <v>927475.3194863317</v>
      </c>
      <c r="U15" s="46">
        <f t="shared" si="10"/>
        <v>927475.3194863317</v>
      </c>
      <c r="V15" s="46">
        <f t="shared" si="10"/>
        <v>927475.3194863317</v>
      </c>
      <c r="W15" s="46">
        <f t="shared" si="10"/>
        <v>927475.3194863317</v>
      </c>
      <c r="X15" s="46">
        <f t="shared" si="10"/>
        <v>927475.3194863317</v>
      </c>
      <c r="Y15" s="46">
        <f t="shared" si="10"/>
        <v>927475.3194863317</v>
      </c>
      <c r="Z15" s="46">
        <f t="shared" si="10"/>
        <v>927475.3194863317</v>
      </c>
      <c r="AA15" s="46">
        <f t="shared" si="10"/>
        <v>927475.3194863317</v>
      </c>
      <c r="AB15" s="46">
        <f t="shared" si="10"/>
        <v>927475.3194863317</v>
      </c>
      <c r="AC15" s="46">
        <f t="shared" si="10"/>
        <v>927475.3194863317</v>
      </c>
      <c r="AD15" s="46">
        <f t="shared" si="10"/>
        <v>927475.3194863317</v>
      </c>
      <c r="AE15" s="46">
        <f t="shared" si="10"/>
        <v>927475.3194863317</v>
      </c>
      <c r="AF15" s="46">
        <f t="shared" si="10"/>
        <v>927475.3194863317</v>
      </c>
      <c r="AG15" s="46">
        <f t="shared" si="10"/>
        <v>927475.3194863317</v>
      </c>
      <c r="AH15" s="46">
        <f t="shared" si="10"/>
        <v>927475.3194863317</v>
      </c>
      <c r="AI15" s="46">
        <f t="shared" si="10"/>
        <v>927475.3194863317</v>
      </c>
      <c r="AJ15" s="46">
        <f>AJ13*AJ14</f>
        <v>0</v>
      </c>
      <c r="AK15" s="46">
        <f>AK13*AK14</f>
        <v>0</v>
      </c>
      <c r="AL15" s="46">
        <f>AL13*AL14</f>
        <v>0</v>
      </c>
    </row>
    <row r="16" spans="2:38" ht="12.75">
      <c r="B16" s="9"/>
      <c r="C16" s="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23" t="s">
        <v>199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23" t="s">
        <v>197</v>
      </c>
      <c r="D18" s="45">
        <v>0</v>
      </c>
      <c r="E18" s="45">
        <v>0</v>
      </c>
      <c r="F18" s="226">
        <v>34.5</v>
      </c>
      <c r="G18" s="226">
        <v>34.5</v>
      </c>
      <c r="H18" s="226">
        <v>34.5</v>
      </c>
      <c r="I18" s="226">
        <v>34.5</v>
      </c>
      <c r="J18" s="226">
        <v>34.5</v>
      </c>
      <c r="K18" s="226">
        <v>34.5</v>
      </c>
      <c r="L18" s="226">
        <v>34.5</v>
      </c>
      <c r="M18" s="226">
        <v>34.5</v>
      </c>
      <c r="N18" s="226">
        <v>34.5</v>
      </c>
      <c r="O18" s="226">
        <v>34.5</v>
      </c>
      <c r="P18" s="226">
        <v>34.5</v>
      </c>
      <c r="Q18" s="226">
        <v>34.5</v>
      </c>
      <c r="R18" s="226">
        <v>34.5</v>
      </c>
      <c r="S18" s="226">
        <v>34.5</v>
      </c>
      <c r="T18" s="226">
        <v>34.5</v>
      </c>
      <c r="U18" s="226">
        <v>34.5</v>
      </c>
      <c r="V18" s="226">
        <v>34.5</v>
      </c>
      <c r="W18" s="226">
        <v>34.5</v>
      </c>
      <c r="X18" s="226">
        <v>34.5</v>
      </c>
      <c r="Y18" s="226">
        <v>34.5</v>
      </c>
      <c r="Z18" s="226">
        <v>34.5</v>
      </c>
      <c r="AA18" s="226">
        <v>34.5</v>
      </c>
      <c r="AB18" s="226">
        <v>34.5</v>
      </c>
      <c r="AC18" s="226">
        <v>34.5</v>
      </c>
      <c r="AD18" s="226">
        <v>34.5</v>
      </c>
      <c r="AE18" s="226">
        <v>34.5</v>
      </c>
      <c r="AF18" s="226">
        <v>34.5</v>
      </c>
      <c r="AG18" s="226">
        <v>34.5</v>
      </c>
      <c r="AH18" s="226">
        <v>34.5</v>
      </c>
      <c r="AI18" s="226">
        <v>34.5</v>
      </c>
      <c r="AJ18" s="45">
        <v>0</v>
      </c>
      <c r="AK18" s="45">
        <v>0</v>
      </c>
      <c r="AL18" s="45">
        <v>0</v>
      </c>
    </row>
    <row r="19" spans="2:38" ht="12.75">
      <c r="B19" s="269" t="s">
        <v>196</v>
      </c>
      <c r="C19" s="269"/>
      <c r="D19" s="46">
        <f aca="true" t="shared" si="11" ref="D19:O19">D17*D18</f>
        <v>0</v>
      </c>
      <c r="E19" s="46">
        <f t="shared" si="11"/>
        <v>0</v>
      </c>
      <c r="F19" s="46">
        <f t="shared" si="11"/>
        <v>51750</v>
      </c>
      <c r="G19" s="46">
        <f t="shared" si="11"/>
        <v>51750</v>
      </c>
      <c r="H19" s="46">
        <f t="shared" si="11"/>
        <v>51750</v>
      </c>
      <c r="I19" s="46">
        <f t="shared" si="11"/>
        <v>51750</v>
      </c>
      <c r="J19" s="46">
        <f t="shared" si="11"/>
        <v>51750</v>
      </c>
      <c r="K19" s="46">
        <f t="shared" si="11"/>
        <v>51750</v>
      </c>
      <c r="L19" s="46">
        <f t="shared" si="11"/>
        <v>51750</v>
      </c>
      <c r="M19" s="46">
        <f t="shared" si="11"/>
        <v>51750</v>
      </c>
      <c r="N19" s="46">
        <f t="shared" si="11"/>
        <v>51750</v>
      </c>
      <c r="O19" s="46">
        <f t="shared" si="11"/>
        <v>51750</v>
      </c>
      <c r="P19" s="46">
        <f aca="true" t="shared" si="12" ref="P19:AI19">P17*P18</f>
        <v>51750</v>
      </c>
      <c r="Q19" s="46">
        <f t="shared" si="12"/>
        <v>51750</v>
      </c>
      <c r="R19" s="46">
        <f t="shared" si="12"/>
        <v>51750</v>
      </c>
      <c r="S19" s="46">
        <f t="shared" si="12"/>
        <v>51750</v>
      </c>
      <c r="T19" s="46">
        <f t="shared" si="12"/>
        <v>51750</v>
      </c>
      <c r="U19" s="46">
        <f t="shared" si="12"/>
        <v>51750</v>
      </c>
      <c r="V19" s="46">
        <f t="shared" si="12"/>
        <v>51750</v>
      </c>
      <c r="W19" s="46">
        <f t="shared" si="12"/>
        <v>51750</v>
      </c>
      <c r="X19" s="46">
        <f t="shared" si="12"/>
        <v>51750</v>
      </c>
      <c r="Y19" s="46">
        <f t="shared" si="12"/>
        <v>51750</v>
      </c>
      <c r="Z19" s="46">
        <f t="shared" si="12"/>
        <v>51750</v>
      </c>
      <c r="AA19" s="46">
        <f t="shared" si="12"/>
        <v>51750</v>
      </c>
      <c r="AB19" s="46">
        <f t="shared" si="12"/>
        <v>51750</v>
      </c>
      <c r="AC19" s="46">
        <f t="shared" si="12"/>
        <v>51750</v>
      </c>
      <c r="AD19" s="46">
        <f t="shared" si="12"/>
        <v>51750</v>
      </c>
      <c r="AE19" s="46">
        <f t="shared" si="12"/>
        <v>51750</v>
      </c>
      <c r="AF19" s="46">
        <f t="shared" si="12"/>
        <v>51750</v>
      </c>
      <c r="AG19" s="46">
        <f t="shared" si="12"/>
        <v>51750</v>
      </c>
      <c r="AH19" s="46">
        <f t="shared" si="12"/>
        <v>51750</v>
      </c>
      <c r="AI19" s="46">
        <f t="shared" si="12"/>
        <v>51750</v>
      </c>
      <c r="AJ19" s="46">
        <f>AJ17*AJ18</f>
        <v>0</v>
      </c>
      <c r="AK19" s="46">
        <f>AK17*AK18</f>
        <v>0</v>
      </c>
      <c r="AL19" s="46">
        <f>AL17*AL18</f>
        <v>0</v>
      </c>
    </row>
    <row r="20" spans="2:38" ht="12.75">
      <c r="B20" s="9"/>
      <c r="C20" s="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2:38" ht="12.75">
      <c r="B23" s="269" t="s">
        <v>27</v>
      </c>
      <c r="C23" s="269"/>
      <c r="D23" s="46">
        <f aca="true" t="shared" si="13" ref="D23:AL23">D21*D22</f>
        <v>0</v>
      </c>
      <c r="E23" s="46">
        <f t="shared" si="13"/>
        <v>0</v>
      </c>
      <c r="F23" s="46">
        <f t="shared" si="13"/>
        <v>0</v>
      </c>
      <c r="G23" s="46">
        <f t="shared" si="13"/>
        <v>0</v>
      </c>
      <c r="H23" s="46">
        <f t="shared" si="13"/>
        <v>0</v>
      </c>
      <c r="I23" s="46">
        <f t="shared" si="13"/>
        <v>0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0</v>
      </c>
      <c r="N23" s="46">
        <f t="shared" si="13"/>
        <v>0</v>
      </c>
      <c r="O23" s="46">
        <f t="shared" si="13"/>
        <v>0</v>
      </c>
      <c r="P23" s="46">
        <f t="shared" si="13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46">
        <f t="shared" si="13"/>
        <v>0</v>
      </c>
      <c r="U23" s="46">
        <f t="shared" si="13"/>
        <v>0</v>
      </c>
      <c r="V23" s="46">
        <f t="shared" si="13"/>
        <v>0</v>
      </c>
      <c r="W23" s="46">
        <f t="shared" si="13"/>
        <v>0</v>
      </c>
      <c r="X23" s="46">
        <f t="shared" si="13"/>
        <v>0</v>
      </c>
      <c r="Y23" s="46">
        <f t="shared" si="13"/>
        <v>0</v>
      </c>
      <c r="Z23" s="46">
        <f t="shared" si="13"/>
        <v>0</v>
      </c>
      <c r="AA23" s="46">
        <f t="shared" si="13"/>
        <v>0</v>
      </c>
      <c r="AB23" s="46">
        <f t="shared" si="13"/>
        <v>0</v>
      </c>
      <c r="AC23" s="46">
        <f t="shared" si="13"/>
        <v>0</v>
      </c>
      <c r="AD23" s="46">
        <f t="shared" si="13"/>
        <v>0</v>
      </c>
      <c r="AE23" s="46">
        <f t="shared" si="13"/>
        <v>0</v>
      </c>
      <c r="AF23" s="46">
        <f t="shared" si="13"/>
        <v>0</v>
      </c>
      <c r="AG23" s="46">
        <f t="shared" si="13"/>
        <v>0</v>
      </c>
      <c r="AH23" s="46">
        <f t="shared" si="13"/>
        <v>0</v>
      </c>
      <c r="AI23" s="46">
        <f t="shared" si="13"/>
        <v>0</v>
      </c>
      <c r="AJ23" s="46">
        <f t="shared" si="13"/>
        <v>0</v>
      </c>
      <c r="AK23" s="46">
        <f t="shared" si="13"/>
        <v>0</v>
      </c>
      <c r="AL23" s="46">
        <f t="shared" si="13"/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2:38" ht="12.75">
      <c r="B27" s="269" t="s">
        <v>27</v>
      </c>
      <c r="C27" s="269"/>
      <c r="D27" s="46">
        <f aca="true" t="shared" si="14" ref="D27:AL27">D25*D26</f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 t="shared" si="14"/>
        <v>0</v>
      </c>
      <c r="I27" s="46">
        <f t="shared" si="14"/>
        <v>0</v>
      </c>
      <c r="J27" s="46">
        <f t="shared" si="14"/>
        <v>0</v>
      </c>
      <c r="K27" s="46">
        <f t="shared" si="14"/>
        <v>0</v>
      </c>
      <c r="L27" s="46">
        <f t="shared" si="14"/>
        <v>0</v>
      </c>
      <c r="M27" s="46">
        <f t="shared" si="14"/>
        <v>0</v>
      </c>
      <c r="N27" s="46">
        <f t="shared" si="14"/>
        <v>0</v>
      </c>
      <c r="O27" s="46">
        <f t="shared" si="14"/>
        <v>0</v>
      </c>
      <c r="P27" s="46">
        <f t="shared" si="14"/>
        <v>0</v>
      </c>
      <c r="Q27" s="46">
        <f t="shared" si="14"/>
        <v>0</v>
      </c>
      <c r="R27" s="46">
        <f t="shared" si="14"/>
        <v>0</v>
      </c>
      <c r="S27" s="46">
        <f t="shared" si="14"/>
        <v>0</v>
      </c>
      <c r="T27" s="46">
        <f t="shared" si="14"/>
        <v>0</v>
      </c>
      <c r="U27" s="46">
        <f t="shared" si="14"/>
        <v>0</v>
      </c>
      <c r="V27" s="46">
        <f t="shared" si="14"/>
        <v>0</v>
      </c>
      <c r="W27" s="46">
        <f t="shared" si="14"/>
        <v>0</v>
      </c>
      <c r="X27" s="46">
        <f t="shared" si="14"/>
        <v>0</v>
      </c>
      <c r="Y27" s="46">
        <f t="shared" si="14"/>
        <v>0</v>
      </c>
      <c r="Z27" s="46">
        <f t="shared" si="14"/>
        <v>0</v>
      </c>
      <c r="AA27" s="46">
        <f t="shared" si="14"/>
        <v>0</v>
      </c>
      <c r="AB27" s="46">
        <f t="shared" si="14"/>
        <v>0</v>
      </c>
      <c r="AC27" s="46">
        <f t="shared" si="14"/>
        <v>0</v>
      </c>
      <c r="AD27" s="46">
        <f t="shared" si="14"/>
        <v>0</v>
      </c>
      <c r="AE27" s="46">
        <f t="shared" si="14"/>
        <v>0</v>
      </c>
      <c r="AF27" s="46">
        <f t="shared" si="14"/>
        <v>0</v>
      </c>
      <c r="AG27" s="46">
        <f t="shared" si="14"/>
        <v>0</v>
      </c>
      <c r="AH27" s="46">
        <f t="shared" si="14"/>
        <v>0</v>
      </c>
      <c r="AI27" s="46">
        <f t="shared" si="14"/>
        <v>0</v>
      </c>
      <c r="AJ27" s="46">
        <f t="shared" si="14"/>
        <v>0</v>
      </c>
      <c r="AK27" s="46">
        <f t="shared" si="14"/>
        <v>0</v>
      </c>
      <c r="AL27" s="46">
        <f t="shared" si="14"/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</row>
    <row r="31" spans="2:38" ht="12.75">
      <c r="B31" s="269" t="s">
        <v>27</v>
      </c>
      <c r="C31" s="269"/>
      <c r="D31" s="46">
        <f aca="true" t="shared" si="15" ref="D31:AL31">D29*D30</f>
        <v>0</v>
      </c>
      <c r="E31" s="46">
        <f t="shared" si="15"/>
        <v>0</v>
      </c>
      <c r="F31" s="46">
        <f t="shared" si="15"/>
        <v>0</v>
      </c>
      <c r="G31" s="46">
        <f t="shared" si="15"/>
        <v>0</v>
      </c>
      <c r="H31" s="46">
        <f t="shared" si="15"/>
        <v>0</v>
      </c>
      <c r="I31" s="46">
        <f t="shared" si="15"/>
        <v>0</v>
      </c>
      <c r="J31" s="46">
        <f t="shared" si="15"/>
        <v>0</v>
      </c>
      <c r="K31" s="46">
        <f t="shared" si="15"/>
        <v>0</v>
      </c>
      <c r="L31" s="46">
        <f t="shared" si="15"/>
        <v>0</v>
      </c>
      <c r="M31" s="46">
        <f t="shared" si="15"/>
        <v>0</v>
      </c>
      <c r="N31" s="46">
        <f t="shared" si="15"/>
        <v>0</v>
      </c>
      <c r="O31" s="46">
        <f t="shared" si="15"/>
        <v>0</v>
      </c>
      <c r="P31" s="46">
        <f t="shared" si="15"/>
        <v>0</v>
      </c>
      <c r="Q31" s="46">
        <f t="shared" si="15"/>
        <v>0</v>
      </c>
      <c r="R31" s="46">
        <f t="shared" si="15"/>
        <v>0</v>
      </c>
      <c r="S31" s="46">
        <f t="shared" si="15"/>
        <v>0</v>
      </c>
      <c r="T31" s="46">
        <f t="shared" si="15"/>
        <v>0</v>
      </c>
      <c r="U31" s="46">
        <f t="shared" si="15"/>
        <v>0</v>
      </c>
      <c r="V31" s="46">
        <f t="shared" si="15"/>
        <v>0</v>
      </c>
      <c r="W31" s="46">
        <f t="shared" si="15"/>
        <v>0</v>
      </c>
      <c r="X31" s="46">
        <f t="shared" si="15"/>
        <v>0</v>
      </c>
      <c r="Y31" s="46">
        <f t="shared" si="15"/>
        <v>0</v>
      </c>
      <c r="Z31" s="46">
        <f t="shared" si="15"/>
        <v>0</v>
      </c>
      <c r="AA31" s="46">
        <f t="shared" si="15"/>
        <v>0</v>
      </c>
      <c r="AB31" s="46">
        <f t="shared" si="15"/>
        <v>0</v>
      </c>
      <c r="AC31" s="46">
        <f t="shared" si="15"/>
        <v>0</v>
      </c>
      <c r="AD31" s="46">
        <f t="shared" si="15"/>
        <v>0</v>
      </c>
      <c r="AE31" s="46">
        <f t="shared" si="15"/>
        <v>0</v>
      </c>
      <c r="AF31" s="46">
        <f t="shared" si="15"/>
        <v>0</v>
      </c>
      <c r="AG31" s="46">
        <f t="shared" si="15"/>
        <v>0</v>
      </c>
      <c r="AH31" s="46">
        <f t="shared" si="15"/>
        <v>0</v>
      </c>
      <c r="AI31" s="46">
        <f t="shared" si="15"/>
        <v>0</v>
      </c>
      <c r="AJ31" s="46">
        <f t="shared" si="15"/>
        <v>0</v>
      </c>
      <c r="AK31" s="46">
        <f t="shared" si="15"/>
        <v>0</v>
      </c>
      <c r="AL31" s="46">
        <f t="shared" si="15"/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</row>
    <row r="35" spans="2:38" ht="12.75">
      <c r="B35" s="269" t="s">
        <v>27</v>
      </c>
      <c r="C35" s="269"/>
      <c r="D35" s="46">
        <f aca="true" t="shared" si="16" ref="D35:AL35">D33*D34</f>
        <v>0</v>
      </c>
      <c r="E35" s="46">
        <f t="shared" si="16"/>
        <v>0</v>
      </c>
      <c r="F35" s="46">
        <f t="shared" si="16"/>
        <v>0</v>
      </c>
      <c r="G35" s="46">
        <f t="shared" si="16"/>
        <v>0</v>
      </c>
      <c r="H35" s="46">
        <f t="shared" si="16"/>
        <v>0</v>
      </c>
      <c r="I35" s="46">
        <f t="shared" si="16"/>
        <v>0</v>
      </c>
      <c r="J35" s="46">
        <f t="shared" si="16"/>
        <v>0</v>
      </c>
      <c r="K35" s="46">
        <f t="shared" si="16"/>
        <v>0</v>
      </c>
      <c r="L35" s="46">
        <f t="shared" si="16"/>
        <v>0</v>
      </c>
      <c r="M35" s="46">
        <f t="shared" si="16"/>
        <v>0</v>
      </c>
      <c r="N35" s="46">
        <f t="shared" si="16"/>
        <v>0</v>
      </c>
      <c r="O35" s="46">
        <f t="shared" si="16"/>
        <v>0</v>
      </c>
      <c r="P35" s="46">
        <f t="shared" si="16"/>
        <v>0</v>
      </c>
      <c r="Q35" s="46">
        <f t="shared" si="16"/>
        <v>0</v>
      </c>
      <c r="R35" s="46">
        <f t="shared" si="16"/>
        <v>0</v>
      </c>
      <c r="S35" s="46">
        <f t="shared" si="16"/>
        <v>0</v>
      </c>
      <c r="T35" s="46">
        <f t="shared" si="16"/>
        <v>0</v>
      </c>
      <c r="U35" s="46">
        <f t="shared" si="16"/>
        <v>0</v>
      </c>
      <c r="V35" s="46">
        <f t="shared" si="16"/>
        <v>0</v>
      </c>
      <c r="W35" s="46">
        <f t="shared" si="16"/>
        <v>0</v>
      </c>
      <c r="X35" s="46">
        <f t="shared" si="16"/>
        <v>0</v>
      </c>
      <c r="Y35" s="46">
        <f t="shared" si="16"/>
        <v>0</v>
      </c>
      <c r="Z35" s="46">
        <f t="shared" si="16"/>
        <v>0</v>
      </c>
      <c r="AA35" s="46">
        <f t="shared" si="16"/>
        <v>0</v>
      </c>
      <c r="AB35" s="46">
        <f t="shared" si="16"/>
        <v>0</v>
      </c>
      <c r="AC35" s="46">
        <f t="shared" si="16"/>
        <v>0</v>
      </c>
      <c r="AD35" s="46">
        <f t="shared" si="16"/>
        <v>0</v>
      </c>
      <c r="AE35" s="46">
        <f t="shared" si="16"/>
        <v>0</v>
      </c>
      <c r="AF35" s="46">
        <f t="shared" si="16"/>
        <v>0</v>
      </c>
      <c r="AG35" s="46">
        <f t="shared" si="16"/>
        <v>0</v>
      </c>
      <c r="AH35" s="46">
        <f t="shared" si="16"/>
        <v>0</v>
      </c>
      <c r="AI35" s="46">
        <f t="shared" si="16"/>
        <v>0</v>
      </c>
      <c r="AJ35" s="46">
        <f t="shared" si="16"/>
        <v>0</v>
      </c>
      <c r="AK35" s="46">
        <f t="shared" si="16"/>
        <v>0</v>
      </c>
      <c r="AL35" s="46">
        <f t="shared" si="16"/>
        <v>0</v>
      </c>
    </row>
    <row r="36" spans="2:38" ht="12.75">
      <c r="B36" s="9"/>
      <c r="C36" s="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50</v>
      </c>
      <c r="B37" s="19"/>
      <c r="C37" s="19"/>
      <c r="D37" s="47">
        <f>D15+D19+D23+D27+D31+D35</f>
        <v>0</v>
      </c>
      <c r="E37" s="47">
        <f aca="true" t="shared" si="17" ref="E37:AL37">E15+E19+E23+E27+E31+E35</f>
        <v>0</v>
      </c>
      <c r="F37" s="47">
        <f t="shared" si="17"/>
        <v>477042.431049</v>
      </c>
      <c r="G37" s="47">
        <f t="shared" si="17"/>
        <v>909139.5409947841</v>
      </c>
      <c r="H37" s="47">
        <f t="shared" si="17"/>
        <v>947518.4403235628</v>
      </c>
      <c r="I37" s="47">
        <f t="shared" si="17"/>
        <v>974607.3413502153</v>
      </c>
      <c r="J37" s="47">
        <f t="shared" si="17"/>
        <v>978298.7707156161</v>
      </c>
      <c r="K37" s="47">
        <f t="shared" si="17"/>
        <v>979225.3194863317</v>
      </c>
      <c r="L37" s="47">
        <f t="shared" si="17"/>
        <v>979225.3194863317</v>
      </c>
      <c r="M37" s="47">
        <f t="shared" si="17"/>
        <v>979225.3194863317</v>
      </c>
      <c r="N37" s="47">
        <f t="shared" si="17"/>
        <v>979225.3194863317</v>
      </c>
      <c r="O37" s="47">
        <f t="shared" si="17"/>
        <v>979225.3194863317</v>
      </c>
      <c r="P37" s="47">
        <f t="shared" si="17"/>
        <v>979225.3194863317</v>
      </c>
      <c r="Q37" s="47">
        <f t="shared" si="17"/>
        <v>979225.3194863317</v>
      </c>
      <c r="R37" s="47">
        <f t="shared" si="17"/>
        <v>979225.3194863317</v>
      </c>
      <c r="S37" s="47">
        <f t="shared" si="17"/>
        <v>979225.3194863317</v>
      </c>
      <c r="T37" s="47">
        <f t="shared" si="17"/>
        <v>979225.3194863317</v>
      </c>
      <c r="U37" s="47">
        <f t="shared" si="17"/>
        <v>979225.3194863317</v>
      </c>
      <c r="V37" s="47">
        <f t="shared" si="17"/>
        <v>979225.3194863317</v>
      </c>
      <c r="W37" s="47">
        <f t="shared" si="17"/>
        <v>979225.3194863317</v>
      </c>
      <c r="X37" s="47">
        <f t="shared" si="17"/>
        <v>979225.3194863317</v>
      </c>
      <c r="Y37" s="47">
        <f t="shared" si="17"/>
        <v>979225.3194863317</v>
      </c>
      <c r="Z37" s="47">
        <f t="shared" si="17"/>
        <v>979225.3194863317</v>
      </c>
      <c r="AA37" s="47">
        <f t="shared" si="17"/>
        <v>979225.3194863317</v>
      </c>
      <c r="AB37" s="47">
        <f t="shared" si="17"/>
        <v>979225.3194863317</v>
      </c>
      <c r="AC37" s="47">
        <f t="shared" si="17"/>
        <v>979225.3194863317</v>
      </c>
      <c r="AD37" s="47">
        <f t="shared" si="17"/>
        <v>979225.3194863317</v>
      </c>
      <c r="AE37" s="47">
        <f t="shared" si="17"/>
        <v>979225.3194863317</v>
      </c>
      <c r="AF37" s="47">
        <f t="shared" si="17"/>
        <v>979225.3194863317</v>
      </c>
      <c r="AG37" s="47">
        <f t="shared" si="17"/>
        <v>979225.3194863317</v>
      </c>
      <c r="AH37" s="47">
        <f t="shared" si="17"/>
        <v>979225.3194863317</v>
      </c>
      <c r="AI37" s="47">
        <f t="shared" si="17"/>
        <v>979225.3194863317</v>
      </c>
      <c r="AJ37" s="47">
        <f t="shared" si="17"/>
        <v>0</v>
      </c>
      <c r="AK37" s="47">
        <f t="shared" si="17"/>
        <v>0</v>
      </c>
      <c r="AL37" s="47">
        <f t="shared" si="17"/>
        <v>0</v>
      </c>
    </row>
  </sheetData>
  <sheetProtection/>
  <mergeCells count="6">
    <mergeCell ref="B31:C31"/>
    <mergeCell ref="B35:C35"/>
    <mergeCell ref="B15:C15"/>
    <mergeCell ref="B19:C19"/>
    <mergeCell ref="B23:C23"/>
    <mergeCell ref="B27:C27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57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customHeight="1" hidden="1">
      <c r="A3" s="74" t="s">
        <v>142</v>
      </c>
      <c r="B3" s="74">
        <f aca="true" t="shared" si="1" ref="B3:AJ3">B13-B8</f>
        <v>-2000</v>
      </c>
      <c r="C3" s="74">
        <f t="shared" si="1"/>
        <v>0</v>
      </c>
      <c r="D3" s="74">
        <f t="shared" si="1"/>
        <v>0</v>
      </c>
      <c r="E3" s="74">
        <f t="shared" si="1"/>
        <v>340</v>
      </c>
      <c r="F3" s="74">
        <f t="shared" si="1"/>
        <v>340</v>
      </c>
      <c r="G3" s="74">
        <f t="shared" si="1"/>
        <v>340</v>
      </c>
      <c r="H3" s="74">
        <f t="shared" si="1"/>
        <v>340</v>
      </c>
      <c r="I3" s="74">
        <f t="shared" si="1"/>
        <v>340</v>
      </c>
      <c r="J3" s="74">
        <f t="shared" si="1"/>
        <v>340</v>
      </c>
      <c r="K3" s="74">
        <f t="shared" si="1"/>
        <v>340</v>
      </c>
      <c r="L3" s="74">
        <f t="shared" si="1"/>
        <v>340</v>
      </c>
      <c r="M3" s="74">
        <f t="shared" si="1"/>
        <v>340</v>
      </c>
      <c r="N3" s="74">
        <f t="shared" si="1"/>
        <v>340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customHeight="1" hidden="1">
      <c r="A5" s="74" t="s">
        <v>141</v>
      </c>
      <c r="B5" s="190">
        <f>IRR(B3:AJ3,0.05)</f>
        <v>0.07651228214567289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91" t="s">
        <v>143</v>
      </c>
      <c r="B8" s="192">
        <v>2000</v>
      </c>
      <c r="C8" s="192">
        <v>0</v>
      </c>
      <c r="D8" s="192">
        <v>0</v>
      </c>
      <c r="E8" s="192">
        <v>0</v>
      </c>
      <c r="F8" s="192">
        <v>0</v>
      </c>
      <c r="G8" s="192">
        <v>0</v>
      </c>
      <c r="H8" s="192">
        <v>0</v>
      </c>
      <c r="I8" s="192">
        <v>0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2">
        <v>0</v>
      </c>
      <c r="P8" s="192">
        <v>0</v>
      </c>
      <c r="Q8" s="192">
        <v>0</v>
      </c>
      <c r="R8" s="192">
        <v>0</v>
      </c>
      <c r="S8" s="192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2">
        <v>0</v>
      </c>
      <c r="AE8" s="192">
        <v>0</v>
      </c>
      <c r="AF8" s="192">
        <v>0</v>
      </c>
      <c r="AG8" s="192">
        <v>0</v>
      </c>
      <c r="AH8" s="192">
        <v>0</v>
      </c>
      <c r="AI8" s="192">
        <v>0</v>
      </c>
      <c r="AJ8" s="192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145</v>
      </c>
      <c r="B11" s="48">
        <v>0</v>
      </c>
      <c r="C11" s="48">
        <v>0</v>
      </c>
      <c r="D11" s="48">
        <v>0</v>
      </c>
      <c r="E11" s="48">
        <v>200</v>
      </c>
      <c r="F11" s="48">
        <v>200</v>
      </c>
      <c r="G11" s="48">
        <v>200</v>
      </c>
      <c r="H11" s="48">
        <v>200</v>
      </c>
      <c r="I11" s="48">
        <v>200</v>
      </c>
      <c r="J11" s="48">
        <v>200</v>
      </c>
      <c r="K11" s="48">
        <v>200</v>
      </c>
      <c r="L11" s="48">
        <v>200</v>
      </c>
      <c r="M11" s="48">
        <v>200</v>
      </c>
      <c r="N11" s="48">
        <v>200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146</v>
      </c>
      <c r="B12" s="48">
        <v>0</v>
      </c>
      <c r="C12" s="48">
        <v>0</v>
      </c>
      <c r="D12" s="48">
        <v>0</v>
      </c>
      <c r="E12" s="48">
        <v>140</v>
      </c>
      <c r="F12" s="48">
        <v>140</v>
      </c>
      <c r="G12" s="48">
        <v>140</v>
      </c>
      <c r="H12" s="48">
        <v>140</v>
      </c>
      <c r="I12" s="48">
        <v>140</v>
      </c>
      <c r="J12" s="48">
        <v>140</v>
      </c>
      <c r="K12" s="48">
        <v>140</v>
      </c>
      <c r="L12" s="48">
        <v>140</v>
      </c>
      <c r="M12" s="48">
        <v>140</v>
      </c>
      <c r="N12" s="48">
        <v>140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144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340</v>
      </c>
      <c r="F13" s="47">
        <f t="shared" si="2"/>
        <v>340</v>
      </c>
      <c r="G13" s="47">
        <f t="shared" si="2"/>
        <v>340</v>
      </c>
      <c r="H13" s="47">
        <f t="shared" si="2"/>
        <v>340</v>
      </c>
      <c r="I13" s="47">
        <f t="shared" si="2"/>
        <v>340</v>
      </c>
      <c r="J13" s="47">
        <f t="shared" si="2"/>
        <v>340</v>
      </c>
      <c r="K13" s="47">
        <f t="shared" si="2"/>
        <v>340</v>
      </c>
      <c r="L13" s="47">
        <f t="shared" si="2"/>
        <v>340</v>
      </c>
      <c r="M13" s="47">
        <f t="shared" si="2"/>
        <v>340</v>
      </c>
      <c r="N13" s="47">
        <f t="shared" si="2"/>
        <v>340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A11" sqref="A11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4">
        <v>1</v>
      </c>
      <c r="E1" s="95" t="s">
        <v>47</v>
      </c>
      <c r="F1" s="95"/>
      <c r="G1" s="95"/>
      <c r="H1" s="95"/>
      <c r="I1" s="95"/>
      <c r="J1" s="95"/>
    </row>
    <row r="2" ht="12.75"/>
    <row r="3" ht="12.75">
      <c r="A3" s="64" t="s">
        <v>57</v>
      </c>
    </row>
    <row r="4" spans="3:37" ht="12.75">
      <c r="C4" s="68">
        <f>'Peňažné toky projektu'!$B$28</f>
        <v>2010</v>
      </c>
      <c r="D4" s="68">
        <f>C4+1</f>
        <v>2011</v>
      </c>
      <c r="E4" s="68">
        <f aca="true" t="shared" si="0" ref="E4:AK4">D4+1</f>
        <v>2012</v>
      </c>
      <c r="F4" s="68">
        <f t="shared" si="0"/>
        <v>2013</v>
      </c>
      <c r="G4" s="68">
        <f t="shared" si="0"/>
        <v>2014</v>
      </c>
      <c r="H4" s="68">
        <f t="shared" si="0"/>
        <v>2015</v>
      </c>
      <c r="I4" s="68">
        <f t="shared" si="0"/>
        <v>2016</v>
      </c>
      <c r="J4" s="68">
        <f t="shared" si="0"/>
        <v>2017</v>
      </c>
      <c r="K4" s="68">
        <f t="shared" si="0"/>
        <v>2018</v>
      </c>
      <c r="L4" s="68">
        <f t="shared" si="0"/>
        <v>2019</v>
      </c>
      <c r="M4" s="68">
        <f t="shared" si="0"/>
        <v>2020</v>
      </c>
      <c r="N4" s="68">
        <f t="shared" si="0"/>
        <v>2021</v>
      </c>
      <c r="O4" s="68">
        <f t="shared" si="0"/>
        <v>2022</v>
      </c>
      <c r="P4" s="68">
        <f t="shared" si="0"/>
        <v>2023</v>
      </c>
      <c r="Q4" s="68">
        <f t="shared" si="0"/>
        <v>2024</v>
      </c>
      <c r="R4" s="68">
        <f t="shared" si="0"/>
        <v>2025</v>
      </c>
      <c r="S4" s="68">
        <f t="shared" si="0"/>
        <v>2026</v>
      </c>
      <c r="T4" s="68">
        <f t="shared" si="0"/>
        <v>2027</v>
      </c>
      <c r="U4" s="68">
        <f t="shared" si="0"/>
        <v>2028</v>
      </c>
      <c r="V4" s="68">
        <f t="shared" si="0"/>
        <v>2029</v>
      </c>
      <c r="W4" s="68">
        <f t="shared" si="0"/>
        <v>2030</v>
      </c>
      <c r="X4" s="68">
        <f t="shared" si="0"/>
        <v>2031</v>
      </c>
      <c r="Y4" s="68">
        <f t="shared" si="0"/>
        <v>2032</v>
      </c>
      <c r="Z4" s="68">
        <f t="shared" si="0"/>
        <v>2033</v>
      </c>
      <c r="AA4" s="68">
        <f t="shared" si="0"/>
        <v>2034</v>
      </c>
      <c r="AB4" s="68">
        <f t="shared" si="0"/>
        <v>2035</v>
      </c>
      <c r="AC4" s="68">
        <f t="shared" si="0"/>
        <v>2036</v>
      </c>
      <c r="AD4" s="68">
        <f t="shared" si="0"/>
        <v>2037</v>
      </c>
      <c r="AE4" s="68">
        <f t="shared" si="0"/>
        <v>2038</v>
      </c>
      <c r="AF4" s="68">
        <f t="shared" si="0"/>
        <v>2039</v>
      </c>
      <c r="AG4" s="68">
        <f t="shared" si="0"/>
        <v>2040</v>
      </c>
      <c r="AH4" s="68">
        <f t="shared" si="0"/>
        <v>2041</v>
      </c>
      <c r="AI4" s="68">
        <f t="shared" si="0"/>
        <v>2042</v>
      </c>
      <c r="AJ4" s="68">
        <f t="shared" si="0"/>
        <v>2043</v>
      </c>
      <c r="AK4" s="68">
        <f t="shared" si="0"/>
        <v>2044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1500</v>
      </c>
      <c r="E10" s="92">
        <v>0</v>
      </c>
      <c r="F10" s="92">
        <v>0</v>
      </c>
      <c r="G10" s="92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2">
        <v>0</v>
      </c>
      <c r="P10" s="92">
        <v>0</v>
      </c>
      <c r="Q10" s="92">
        <v>0</v>
      </c>
      <c r="R10" s="92">
        <v>1500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15500</v>
      </c>
      <c r="E11" s="92">
        <v>4480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70" t="s">
        <v>35</v>
      </c>
      <c r="B12" s="270"/>
      <c r="C12" s="88">
        <f>SUM(C8:C11)</f>
        <v>0</v>
      </c>
      <c r="D12" s="88">
        <f aca="true" t="shared" si="1" ref="D12:AK12">SUM(D8:D11)</f>
        <v>17000</v>
      </c>
      <c r="E12" s="88">
        <f t="shared" si="1"/>
        <v>4480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1500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125</v>
      </c>
      <c r="E19" s="90">
        <f>IF($D$1=2,'POM_Odpisy zrychlene'!F11,'POM_Odpisy linearne'!F18)</f>
        <v>125</v>
      </c>
      <c r="F19" s="90">
        <f>IF($D$1=2,'POM_Odpisy zrychlene'!G11,'POM_Odpisy linearne'!G18)</f>
        <v>125</v>
      </c>
      <c r="G19" s="90">
        <f>IF($D$1=2,'POM_Odpisy zrychlene'!H11,'POM_Odpisy linearne'!H18)</f>
        <v>125</v>
      </c>
      <c r="H19" s="90">
        <f>IF($D$1=2,'POM_Odpisy zrychlene'!I11,'POM_Odpisy linearne'!I18)</f>
        <v>125</v>
      </c>
      <c r="I19" s="90">
        <f>IF($D$1=2,'POM_Odpisy zrychlene'!J11,'POM_Odpisy linearne'!J18)</f>
        <v>125</v>
      </c>
      <c r="J19" s="90">
        <f>IF($D$1=2,'POM_Odpisy zrychlene'!K11,'POM_Odpisy linearne'!K18)</f>
        <v>125</v>
      </c>
      <c r="K19" s="90">
        <f>IF($D$1=2,'POM_Odpisy zrychlene'!L11,'POM_Odpisy linearne'!L18)</f>
        <v>125</v>
      </c>
      <c r="L19" s="90">
        <f>IF($D$1=2,'POM_Odpisy zrychlene'!M11,'POM_Odpisy linearne'!M18)</f>
        <v>125</v>
      </c>
      <c r="M19" s="90">
        <f>IF($D$1=2,'POM_Odpisy zrychlene'!N11,'POM_Odpisy linearne'!N18)</f>
        <v>125</v>
      </c>
      <c r="N19" s="90">
        <f>IF($D$1=2,'POM_Odpisy zrychlene'!O11,'POM_Odpisy linearne'!O18)</f>
        <v>125</v>
      </c>
      <c r="O19" s="90">
        <f>IF($D$1=2,'POM_Odpisy zrychlene'!P11,'POM_Odpisy linearne'!P18)</f>
        <v>125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125</v>
      </c>
      <c r="S19" s="90">
        <f>IF($D$1=2,'POM_Odpisy zrychlene'!T11,'POM_Odpisy linearne'!T18)</f>
        <v>125</v>
      </c>
      <c r="T19" s="90">
        <f>IF($D$1=2,'POM_Odpisy zrychlene'!U11,'POM_Odpisy linearne'!U18)</f>
        <v>125</v>
      </c>
      <c r="U19" s="90">
        <f>IF($D$1=2,'POM_Odpisy zrychlene'!V11,'POM_Odpisy linearne'!V18)</f>
        <v>125</v>
      </c>
      <c r="V19" s="90">
        <f>IF($D$1=2,'POM_Odpisy zrychlene'!W11,'POM_Odpisy linearne'!W18)</f>
        <v>125</v>
      </c>
      <c r="W19" s="90">
        <f>IF($D$1=2,'POM_Odpisy zrychlene'!X11,'POM_Odpisy linearne'!X18)</f>
        <v>125</v>
      </c>
      <c r="X19" s="90">
        <f>IF($D$1=2,'POM_Odpisy zrychlene'!Y11,'POM_Odpisy linearne'!Y18)</f>
        <v>125</v>
      </c>
      <c r="Y19" s="90">
        <f>IF($D$1=2,'POM_Odpisy zrychlene'!Z11,'POM_Odpisy linearne'!Z18)</f>
        <v>125</v>
      </c>
      <c r="Z19" s="90">
        <f>IF($D$1=2,'POM_Odpisy zrychlene'!AA11,'POM_Odpisy linearne'!AA18)</f>
        <v>125</v>
      </c>
      <c r="AA19" s="90">
        <f>IF($D$1=2,'POM_Odpisy zrychlene'!AB11,'POM_Odpisy linearne'!AB18)</f>
        <v>125</v>
      </c>
      <c r="AB19" s="90">
        <f>IF($D$1=2,'POM_Odpisy zrychlene'!AC11,'POM_Odpisy linearne'!AC18)</f>
        <v>125</v>
      </c>
      <c r="AC19" s="90">
        <f>IF($D$1=2,'POM_Odpisy zrychlene'!AD11,'POM_Odpisy linearne'!AD18)</f>
        <v>125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775</v>
      </c>
      <c r="E20" s="90">
        <f>IF($D$1=2,'POM_Odpisy zrychlene'!F12,'POM_Odpisy linearne'!F19)</f>
        <v>999</v>
      </c>
      <c r="F20" s="90">
        <f>IF($D$1=2,'POM_Odpisy zrychlene'!G12,'POM_Odpisy linearne'!G19)</f>
        <v>999</v>
      </c>
      <c r="G20" s="90">
        <f>IF($D$1=2,'POM_Odpisy zrychlene'!H12,'POM_Odpisy linearne'!H19)</f>
        <v>999</v>
      </c>
      <c r="H20" s="90">
        <f>IF($D$1=2,'POM_Odpisy zrychlene'!I12,'POM_Odpisy linearne'!I19)</f>
        <v>999</v>
      </c>
      <c r="I20" s="90">
        <f>IF($D$1=2,'POM_Odpisy zrychlene'!J12,'POM_Odpisy linearne'!J19)</f>
        <v>999</v>
      </c>
      <c r="J20" s="90">
        <f>IF($D$1=2,'POM_Odpisy zrychlene'!K12,'POM_Odpisy linearne'!K19)</f>
        <v>999</v>
      </c>
      <c r="K20" s="90">
        <f>IF($D$1=2,'POM_Odpisy zrychlene'!L12,'POM_Odpisy linearne'!L19)</f>
        <v>999</v>
      </c>
      <c r="L20" s="90">
        <f>IF($D$1=2,'POM_Odpisy zrychlene'!M12,'POM_Odpisy linearne'!M19)</f>
        <v>999</v>
      </c>
      <c r="M20" s="90">
        <f>IF($D$1=2,'POM_Odpisy zrychlene'!N12,'POM_Odpisy linearne'!N19)</f>
        <v>999</v>
      </c>
      <c r="N20" s="90">
        <f>IF($D$1=2,'POM_Odpisy zrychlene'!O12,'POM_Odpisy linearne'!O19)</f>
        <v>999</v>
      </c>
      <c r="O20" s="90">
        <f>IF($D$1=2,'POM_Odpisy zrychlene'!P12,'POM_Odpisy linearne'!P19)</f>
        <v>999</v>
      </c>
      <c r="P20" s="90">
        <f>IF($D$1=2,'POM_Odpisy zrychlene'!Q12,'POM_Odpisy linearne'!Q19)</f>
        <v>999</v>
      </c>
      <c r="Q20" s="90">
        <f>IF($D$1=2,'POM_Odpisy zrychlene'!R12,'POM_Odpisy linearne'!R19)</f>
        <v>999</v>
      </c>
      <c r="R20" s="90">
        <f>IF($D$1=2,'POM_Odpisy zrychlene'!S12,'POM_Odpisy linearne'!S19)</f>
        <v>999</v>
      </c>
      <c r="S20" s="90">
        <f>IF($D$1=2,'POM_Odpisy zrychlene'!T12,'POM_Odpisy linearne'!T19)</f>
        <v>999</v>
      </c>
      <c r="T20" s="90">
        <f>IF($D$1=2,'POM_Odpisy zrychlene'!U12,'POM_Odpisy linearne'!U19)</f>
        <v>999</v>
      </c>
      <c r="U20" s="90">
        <f>IF($D$1=2,'POM_Odpisy zrychlene'!V12,'POM_Odpisy linearne'!V19)</f>
        <v>999</v>
      </c>
      <c r="V20" s="90">
        <f>IF($D$1=2,'POM_Odpisy zrychlene'!W12,'POM_Odpisy linearne'!W19)</f>
        <v>999</v>
      </c>
      <c r="W20" s="90">
        <f>IF($D$1=2,'POM_Odpisy zrychlene'!X12,'POM_Odpisy linearne'!X19)</f>
        <v>999</v>
      </c>
      <c r="X20" s="90">
        <f>IF($D$1=2,'POM_Odpisy zrychlene'!Y12,'POM_Odpisy linearne'!Y19)</f>
        <v>224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71" t="s">
        <v>35</v>
      </c>
      <c r="B21" s="271"/>
      <c r="C21" s="91">
        <f aca="true" t="shared" si="2" ref="C21:AK21">SUM(C17:C20)</f>
        <v>0</v>
      </c>
      <c r="D21" s="91">
        <f t="shared" si="2"/>
        <v>900</v>
      </c>
      <c r="E21" s="91">
        <f t="shared" si="2"/>
        <v>1124</v>
      </c>
      <c r="F21" s="91">
        <f t="shared" si="2"/>
        <v>1124</v>
      </c>
      <c r="G21" s="91">
        <f t="shared" si="2"/>
        <v>1124</v>
      </c>
      <c r="H21" s="91">
        <f t="shared" si="2"/>
        <v>1124</v>
      </c>
      <c r="I21" s="91">
        <f t="shared" si="2"/>
        <v>1124</v>
      </c>
      <c r="J21" s="91">
        <f t="shared" si="2"/>
        <v>1124</v>
      </c>
      <c r="K21" s="91">
        <f t="shared" si="2"/>
        <v>1124</v>
      </c>
      <c r="L21" s="91">
        <f t="shared" si="2"/>
        <v>1124</v>
      </c>
      <c r="M21" s="91">
        <f t="shared" si="2"/>
        <v>1124</v>
      </c>
      <c r="N21" s="91">
        <f t="shared" si="2"/>
        <v>1124</v>
      </c>
      <c r="O21" s="91">
        <f t="shared" si="2"/>
        <v>1124</v>
      </c>
      <c r="P21" s="91">
        <f t="shared" si="2"/>
        <v>999</v>
      </c>
      <c r="Q21" s="91">
        <f t="shared" si="2"/>
        <v>999</v>
      </c>
      <c r="R21" s="91">
        <f t="shared" si="2"/>
        <v>1124</v>
      </c>
      <c r="S21" s="91">
        <f t="shared" si="2"/>
        <v>1124</v>
      </c>
      <c r="T21" s="91">
        <f t="shared" si="2"/>
        <v>1124</v>
      </c>
      <c r="U21" s="91">
        <f t="shared" si="2"/>
        <v>1124</v>
      </c>
      <c r="V21" s="91">
        <f t="shared" si="2"/>
        <v>1124</v>
      </c>
      <c r="W21" s="91">
        <f t="shared" si="2"/>
        <v>1124</v>
      </c>
      <c r="X21" s="91">
        <f t="shared" si="2"/>
        <v>349</v>
      </c>
      <c r="Y21" s="91">
        <f t="shared" si="2"/>
        <v>125</v>
      </c>
      <c r="Z21" s="91">
        <f t="shared" si="2"/>
        <v>125</v>
      </c>
      <c r="AA21" s="91">
        <f t="shared" si="2"/>
        <v>125</v>
      </c>
      <c r="AB21" s="91">
        <f t="shared" si="2"/>
        <v>125</v>
      </c>
      <c r="AC21" s="91">
        <f t="shared" si="2"/>
        <v>125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38.875" style="83" bestFit="1" customWidth="1"/>
    <col min="2" max="16384" width="9.125" style="83" customWidth="1"/>
  </cols>
  <sheetData>
    <row r="1" spans="1:36" s="7" customFormat="1" ht="12.75">
      <c r="A1" s="52" t="s">
        <v>58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83" t="s">
        <v>72</v>
      </c>
      <c r="B3" s="96">
        <v>34200</v>
      </c>
      <c r="C3" s="96">
        <v>34200</v>
      </c>
      <c r="D3" s="96">
        <v>34200</v>
      </c>
      <c r="E3" s="96">
        <v>34200</v>
      </c>
      <c r="F3" s="96">
        <v>34200</v>
      </c>
      <c r="G3" s="96">
        <v>34200</v>
      </c>
      <c r="H3" s="96">
        <v>34200</v>
      </c>
      <c r="I3" s="96">
        <v>34200</v>
      </c>
      <c r="J3" s="96">
        <v>34200</v>
      </c>
      <c r="K3" s="96">
        <v>34200</v>
      </c>
      <c r="L3" s="96">
        <v>34200</v>
      </c>
      <c r="M3" s="96">
        <v>34200</v>
      </c>
      <c r="N3" s="96">
        <v>34200</v>
      </c>
      <c r="O3" s="96">
        <v>34200</v>
      </c>
      <c r="P3" s="96">
        <v>34200</v>
      </c>
      <c r="Q3" s="96">
        <v>34200</v>
      </c>
      <c r="R3" s="96">
        <v>34200</v>
      </c>
      <c r="S3" s="96">
        <v>34200</v>
      </c>
      <c r="T3" s="96">
        <v>34200</v>
      </c>
      <c r="U3" s="96">
        <v>34200</v>
      </c>
      <c r="V3" s="96">
        <v>34200</v>
      </c>
      <c r="W3" s="96">
        <v>34200</v>
      </c>
      <c r="X3" s="96">
        <v>34200</v>
      </c>
      <c r="Y3" s="96">
        <v>34200</v>
      </c>
      <c r="Z3" s="96">
        <v>34200</v>
      </c>
      <c r="AA3" s="96">
        <v>34200</v>
      </c>
      <c r="AB3" s="96">
        <v>34200</v>
      </c>
      <c r="AC3" s="96">
        <v>34200</v>
      </c>
      <c r="AD3" s="96">
        <v>34200</v>
      </c>
      <c r="AE3" s="96">
        <v>34200</v>
      </c>
      <c r="AF3" s="96">
        <v>34200</v>
      </c>
      <c r="AG3" s="96">
        <v>34200</v>
      </c>
      <c r="AH3" s="96">
        <v>34200</v>
      </c>
      <c r="AI3" s="96">
        <v>34200</v>
      </c>
      <c r="AJ3" s="96">
        <v>34200</v>
      </c>
    </row>
    <row r="4" ht="12.75"/>
    <row r="5" spans="1:36" ht="12.75">
      <c r="A5" s="83" t="s">
        <v>223</v>
      </c>
      <c r="B5" s="241">
        <v>2.1</v>
      </c>
      <c r="C5" s="241">
        <v>2.1</v>
      </c>
      <c r="D5" s="241">
        <v>2.1</v>
      </c>
      <c r="E5" s="241">
        <v>2.1</v>
      </c>
      <c r="F5" s="241">
        <v>2.1</v>
      </c>
      <c r="G5" s="241">
        <v>2.1</v>
      </c>
      <c r="H5" s="241">
        <v>2.1</v>
      </c>
      <c r="I5" s="241">
        <v>2.1</v>
      </c>
      <c r="J5" s="241">
        <v>2.1</v>
      </c>
      <c r="K5" s="241">
        <v>2.1</v>
      </c>
      <c r="L5" s="241">
        <v>2.1</v>
      </c>
      <c r="M5" s="241">
        <v>2.1</v>
      </c>
      <c r="N5" s="241">
        <v>2.1</v>
      </c>
      <c r="O5" s="241">
        <v>2.1</v>
      </c>
      <c r="P5" s="241">
        <v>2.1</v>
      </c>
      <c r="Q5" s="241">
        <v>2.1</v>
      </c>
      <c r="R5" s="241">
        <v>2.1</v>
      </c>
      <c r="S5" s="241">
        <v>2.1</v>
      </c>
      <c r="T5" s="241">
        <v>2.1</v>
      </c>
      <c r="U5" s="241">
        <v>2.1</v>
      </c>
      <c r="V5" s="241">
        <v>2.1</v>
      </c>
      <c r="W5" s="241">
        <v>2.1</v>
      </c>
      <c r="X5" s="241">
        <v>2.1</v>
      </c>
      <c r="Y5" s="241">
        <v>2.1</v>
      </c>
      <c r="Z5" s="241">
        <v>2.1</v>
      </c>
      <c r="AA5" s="241">
        <v>2.1</v>
      </c>
      <c r="AB5" s="241">
        <v>2.1</v>
      </c>
      <c r="AC5" s="241">
        <v>2.1</v>
      </c>
      <c r="AD5" s="241">
        <v>2.1</v>
      </c>
      <c r="AE5" s="241">
        <v>2.1</v>
      </c>
      <c r="AF5" s="241">
        <v>2.1</v>
      </c>
      <c r="AG5" s="241">
        <v>2.1</v>
      </c>
      <c r="AH5" s="241">
        <v>0</v>
      </c>
      <c r="AI5" s="241">
        <v>0</v>
      </c>
      <c r="AJ5" s="241">
        <v>0</v>
      </c>
    </row>
    <row r="6" spans="1:36" ht="12.75">
      <c r="A6" s="83" t="s">
        <v>224</v>
      </c>
      <c r="B6" s="242">
        <f>B5*'Príjmy z prevádzky'!D11</f>
        <v>68.2185</v>
      </c>
      <c r="C6" s="242">
        <f>C5*'Príjmy z prevádzky'!E11</f>
        <v>68.2185</v>
      </c>
      <c r="D6" s="242">
        <f>D5*'Príjmy z prevádzky'!F11</f>
        <v>68.2185</v>
      </c>
      <c r="E6" s="242">
        <f>E5*'Príjmy z prevádzky'!G11</f>
        <v>68.2185</v>
      </c>
      <c r="F6" s="242">
        <f>F5*'Príjmy z prevádzky'!H11</f>
        <v>68.2185</v>
      </c>
      <c r="G6" s="242">
        <f>G5*'Príjmy z prevádzky'!I11</f>
        <v>68.2185</v>
      </c>
      <c r="H6" s="242">
        <f>H5*'Príjmy z prevádzky'!J11</f>
        <v>68.2185</v>
      </c>
      <c r="I6" s="242">
        <f>I5*'Príjmy z prevádzky'!K11</f>
        <v>68.2185</v>
      </c>
      <c r="J6" s="242">
        <f>J5*'Príjmy z prevádzky'!L11</f>
        <v>68.2185</v>
      </c>
      <c r="K6" s="242">
        <f>K5*'Príjmy z prevádzky'!M11</f>
        <v>68.2185</v>
      </c>
      <c r="L6" s="242">
        <f>L5*'Príjmy z prevádzky'!N11</f>
        <v>68.2185</v>
      </c>
      <c r="M6" s="242">
        <f>M5*'Príjmy z prevádzky'!O11</f>
        <v>68.2185</v>
      </c>
      <c r="N6" s="242">
        <f>N5*'Príjmy z prevádzky'!P11</f>
        <v>68.2185</v>
      </c>
      <c r="O6" s="242">
        <f>O5*'Príjmy z prevádzky'!Q11</f>
        <v>68.2185</v>
      </c>
      <c r="P6" s="242">
        <f>P5*'Príjmy z prevádzky'!R11</f>
        <v>68.2185</v>
      </c>
      <c r="Q6" s="242">
        <f>Q5*'Príjmy z prevádzky'!S11</f>
        <v>68.2185</v>
      </c>
      <c r="R6" s="242">
        <f>R5*'Príjmy z prevádzky'!T11</f>
        <v>68.2185</v>
      </c>
      <c r="S6" s="242">
        <f>S5*'Príjmy z prevádzky'!U11</f>
        <v>68.2185</v>
      </c>
      <c r="T6" s="242">
        <f>T5*'Príjmy z prevádzky'!V11</f>
        <v>68.2185</v>
      </c>
      <c r="U6" s="242">
        <f>U5*'Príjmy z prevádzky'!W11</f>
        <v>68.2185</v>
      </c>
      <c r="V6" s="242">
        <f>V5*'Príjmy z prevádzky'!X11</f>
        <v>68.2185</v>
      </c>
      <c r="W6" s="242">
        <f>W5*'Príjmy z prevádzky'!Y11</f>
        <v>68.2185</v>
      </c>
      <c r="X6" s="242">
        <f>X5*'Príjmy z prevádzky'!Z11</f>
        <v>68.2185</v>
      </c>
      <c r="Y6" s="242">
        <f>Y5*'Príjmy z prevádzky'!AA11</f>
        <v>68.2185</v>
      </c>
      <c r="Z6" s="242">
        <f>Z5*'Príjmy z prevádzky'!AB11</f>
        <v>68.2185</v>
      </c>
      <c r="AA6" s="242">
        <f>AA5*'Príjmy z prevádzky'!AC11</f>
        <v>68.2185</v>
      </c>
      <c r="AB6" s="242">
        <f>AB5*'Príjmy z prevádzky'!AD11</f>
        <v>68.2185</v>
      </c>
      <c r="AC6" s="242">
        <f>AC5*'Príjmy z prevádzky'!AE11</f>
        <v>68.2185</v>
      </c>
      <c r="AD6" s="242">
        <f>AD5*'Príjmy z prevádzky'!AF11</f>
        <v>68.2185</v>
      </c>
      <c r="AE6" s="242">
        <f>AE5*'Príjmy z prevádzky'!AG11</f>
        <v>68.2185</v>
      </c>
      <c r="AF6" s="242">
        <f>AF5*'Príjmy z prevádzky'!AH11</f>
        <v>68.2185</v>
      </c>
      <c r="AG6" s="242">
        <f>AG5*'Príjmy z prevádzky'!AI11</f>
        <v>68.2185</v>
      </c>
      <c r="AH6" s="242">
        <f>AH5*'Príjmy z prevádzky'!AJ11</f>
        <v>0</v>
      </c>
      <c r="AI6" s="242">
        <f>AI5*'Príjmy z prevádzky'!AK11</f>
        <v>0</v>
      </c>
      <c r="AJ6" s="242">
        <f>AJ5*'Príjmy z prevádzky'!AL11</f>
        <v>0</v>
      </c>
    </row>
    <row r="7" spans="1:36" ht="12.75">
      <c r="A7" s="83" t="s">
        <v>73</v>
      </c>
      <c r="B7" s="242">
        <f>B6*'Príjmy z prevádzky'!D14</f>
        <v>0</v>
      </c>
      <c r="C7" s="242">
        <f>C6*'Príjmy z prevádzky'!E14</f>
        <v>0</v>
      </c>
      <c r="D7" s="242">
        <f>D6*'Príjmy z prevádzky'!F14</f>
        <v>2353.53825</v>
      </c>
      <c r="E7" s="242">
        <f>E6*'Príjmy z prevádzky'!G14</f>
        <v>2353.53825</v>
      </c>
      <c r="F7" s="242">
        <f>F6*'Príjmy z prevádzky'!H14</f>
        <v>2353.53825</v>
      </c>
      <c r="G7" s="242">
        <f>G6*'Príjmy z prevádzky'!I14</f>
        <v>2353.53825</v>
      </c>
      <c r="H7" s="242">
        <f>H6*'Príjmy z prevádzky'!J14</f>
        <v>2353.53825</v>
      </c>
      <c r="I7" s="242">
        <f>I6*'Príjmy z prevádzky'!K14</f>
        <v>2353.53825</v>
      </c>
      <c r="J7" s="242">
        <f>J6*'Príjmy z prevádzky'!L14</f>
        <v>2353.53825</v>
      </c>
      <c r="K7" s="242">
        <f>K6*'Príjmy z prevádzky'!M14</f>
        <v>2353.53825</v>
      </c>
      <c r="L7" s="242">
        <f>L6*'Príjmy z prevádzky'!N14</f>
        <v>2353.53825</v>
      </c>
      <c r="M7" s="242">
        <f>M6*'Príjmy z prevádzky'!O14</f>
        <v>2353.53825</v>
      </c>
      <c r="N7" s="242">
        <f>N6*'Príjmy z prevádzky'!P14</f>
        <v>2353.53825</v>
      </c>
      <c r="O7" s="242">
        <f>O6*'Príjmy z prevádzky'!Q14</f>
        <v>2353.53825</v>
      </c>
      <c r="P7" s="242">
        <f>P6*'Príjmy z prevádzky'!R14</f>
        <v>2353.53825</v>
      </c>
      <c r="Q7" s="242">
        <f>Q6*'Príjmy z prevádzky'!S14</f>
        <v>2353.53825</v>
      </c>
      <c r="R7" s="242">
        <f>R6*'Príjmy z prevádzky'!T14</f>
        <v>2353.53825</v>
      </c>
      <c r="S7" s="242">
        <f>S6*'Príjmy z prevádzky'!U14</f>
        <v>2353.53825</v>
      </c>
      <c r="T7" s="242">
        <f>T6*'Príjmy z prevádzky'!V14</f>
        <v>2353.53825</v>
      </c>
      <c r="U7" s="242">
        <f>U6*'Príjmy z prevádzky'!W14</f>
        <v>2353.53825</v>
      </c>
      <c r="V7" s="242">
        <f>V6*'Príjmy z prevádzky'!X14</f>
        <v>2353.53825</v>
      </c>
      <c r="W7" s="242">
        <f>W6*'Príjmy z prevádzky'!Y14</f>
        <v>2353.53825</v>
      </c>
      <c r="X7" s="242">
        <f>X6*'Príjmy z prevádzky'!Z14</f>
        <v>2353.53825</v>
      </c>
      <c r="Y7" s="242">
        <f>Y6*'Príjmy z prevádzky'!AA14</f>
        <v>2353.53825</v>
      </c>
      <c r="Z7" s="242">
        <f>Z6*'Príjmy z prevádzky'!AB14</f>
        <v>2353.53825</v>
      </c>
      <c r="AA7" s="242">
        <f>AA6*'Príjmy z prevádzky'!AC14</f>
        <v>2353.53825</v>
      </c>
      <c r="AB7" s="242">
        <f>AB6*'Príjmy z prevádzky'!AD14</f>
        <v>2353.53825</v>
      </c>
      <c r="AC7" s="242">
        <f>AC6*'Príjmy z prevádzky'!AE14</f>
        <v>2353.53825</v>
      </c>
      <c r="AD7" s="242">
        <f>AD6*'Príjmy z prevádzky'!AF14</f>
        <v>2353.53825</v>
      </c>
      <c r="AE7" s="242">
        <f>AE6*'Príjmy z prevádzky'!AG14</f>
        <v>2353.53825</v>
      </c>
      <c r="AF7" s="242">
        <f>AF6*'Príjmy z prevádzky'!AH14</f>
        <v>2353.53825</v>
      </c>
      <c r="AG7" s="242">
        <f>AG6*'Príjmy z prevádzky'!AI14</f>
        <v>2353.53825</v>
      </c>
      <c r="AH7" s="242">
        <f>AH6*'Príjmy z prevádzky'!AJ14</f>
        <v>0</v>
      </c>
      <c r="AI7" s="242">
        <f>AI6*'Príjmy z prevádzky'!AK14</f>
        <v>0</v>
      </c>
      <c r="AJ7" s="242">
        <f>AJ6*'Príjmy z prevádzky'!AL14</f>
        <v>0</v>
      </c>
    </row>
    <row r="8" ht="12.75"/>
    <row r="9" spans="1:36" ht="12.75">
      <c r="A9" s="83" t="s">
        <v>74</v>
      </c>
      <c r="B9" s="97">
        <f>B7/B3</f>
        <v>0</v>
      </c>
      <c r="C9" s="97">
        <f aca="true" t="shared" si="1" ref="C9:AJ9">C7/C3</f>
        <v>0</v>
      </c>
      <c r="D9" s="97">
        <f t="shared" si="1"/>
        <v>0.06881690789473685</v>
      </c>
      <c r="E9" s="97">
        <f t="shared" si="1"/>
        <v>0.06881690789473685</v>
      </c>
      <c r="F9" s="97">
        <f t="shared" si="1"/>
        <v>0.06881690789473685</v>
      </c>
      <c r="G9" s="97">
        <f t="shared" si="1"/>
        <v>0.06881690789473685</v>
      </c>
      <c r="H9" s="97">
        <f t="shared" si="1"/>
        <v>0.06881690789473685</v>
      </c>
      <c r="I9" s="97">
        <f t="shared" si="1"/>
        <v>0.06881690789473685</v>
      </c>
      <c r="J9" s="97">
        <f t="shared" si="1"/>
        <v>0.06881690789473685</v>
      </c>
      <c r="K9" s="97">
        <f t="shared" si="1"/>
        <v>0.06881690789473685</v>
      </c>
      <c r="L9" s="97">
        <f t="shared" si="1"/>
        <v>0.06881690789473685</v>
      </c>
      <c r="M9" s="97">
        <f t="shared" si="1"/>
        <v>0.06881690789473685</v>
      </c>
      <c r="N9" s="97">
        <f t="shared" si="1"/>
        <v>0.06881690789473685</v>
      </c>
      <c r="O9" s="97">
        <f t="shared" si="1"/>
        <v>0.06881690789473685</v>
      </c>
      <c r="P9" s="97">
        <f t="shared" si="1"/>
        <v>0.06881690789473685</v>
      </c>
      <c r="Q9" s="97">
        <f t="shared" si="1"/>
        <v>0.06881690789473685</v>
      </c>
      <c r="R9" s="97">
        <f t="shared" si="1"/>
        <v>0.06881690789473685</v>
      </c>
      <c r="S9" s="97">
        <f t="shared" si="1"/>
        <v>0.06881690789473685</v>
      </c>
      <c r="T9" s="97">
        <f t="shared" si="1"/>
        <v>0.06881690789473685</v>
      </c>
      <c r="U9" s="97">
        <f t="shared" si="1"/>
        <v>0.06881690789473685</v>
      </c>
      <c r="V9" s="97">
        <f t="shared" si="1"/>
        <v>0.06881690789473685</v>
      </c>
      <c r="W9" s="97">
        <f t="shared" si="1"/>
        <v>0.06881690789473685</v>
      </c>
      <c r="X9" s="97">
        <f t="shared" si="1"/>
        <v>0.06881690789473685</v>
      </c>
      <c r="Y9" s="97">
        <f t="shared" si="1"/>
        <v>0.06881690789473685</v>
      </c>
      <c r="Z9" s="97">
        <f t="shared" si="1"/>
        <v>0.06881690789473685</v>
      </c>
      <c r="AA9" s="97">
        <f t="shared" si="1"/>
        <v>0.06881690789473685</v>
      </c>
      <c r="AB9" s="97">
        <f t="shared" si="1"/>
        <v>0.06881690789473685</v>
      </c>
      <c r="AC9" s="97">
        <f t="shared" si="1"/>
        <v>0.06881690789473685</v>
      </c>
      <c r="AD9" s="97">
        <f t="shared" si="1"/>
        <v>0.06881690789473685</v>
      </c>
      <c r="AE9" s="97">
        <f t="shared" si="1"/>
        <v>0.06881690789473685</v>
      </c>
      <c r="AF9" s="97">
        <f t="shared" si="1"/>
        <v>0.06881690789473685</v>
      </c>
      <c r="AG9" s="97">
        <f t="shared" si="1"/>
        <v>0.06881690789473685</v>
      </c>
      <c r="AH9" s="97">
        <f t="shared" si="1"/>
        <v>0</v>
      </c>
      <c r="AI9" s="97">
        <f t="shared" si="1"/>
        <v>0</v>
      </c>
      <c r="AJ9" s="97">
        <f t="shared" si="1"/>
        <v>0</v>
      </c>
    </row>
    <row r="10" ht="12.75"/>
    <row r="11" ht="12.75"/>
    <row r="1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2008-01-18T09:55:31Z</dcterms:modified>
  <cp:category/>
  <cp:version/>
  <cp:contentType/>
  <cp:contentStatus/>
</cp:coreProperties>
</file>